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1490" windowHeight="7530"/>
  </bookViews>
  <sheets>
    <sheet name="Tvorba nové politiky" sheetId="13" r:id="rId1"/>
    <sheet name="Emisní_koeficienty_energie" sheetId="6" state="hidden" r:id="rId2"/>
    <sheet name="Úsporná_opatření" sheetId="7" state="hidden" r:id="rId3"/>
    <sheet name="Potenciál_opatření" sheetId="12" state="hidden" r:id="rId4"/>
    <sheet name="Seznamy" sheetId="8" state="hidden" r:id="rId5"/>
  </sheets>
  <definedNames>
    <definedName name="Emiskoef">Emisní_koeficienty[[#Data],[Klíč]:[N2O '[g/GJ']]]</definedName>
    <definedName name="S_sektory_úspory">NIR_sektory_pro_úspory_energie[NIR sektory pro úspory energie]</definedName>
    <definedName name="S_ŠNE">Šetřené_nositele_energie[[#Data],[Šetřené nositele energie]]</definedName>
    <definedName name="Tolerance">'Tvorba nové politiky'!$M$1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6" i="13" l="1"/>
  <c r="R127" i="13"/>
  <c r="M129" i="13"/>
  <c r="R129" i="13"/>
  <c r="N126" i="13"/>
  <c r="S127" i="13"/>
  <c r="N129" i="13"/>
  <c r="S129" i="13"/>
  <c r="O126" i="13"/>
  <c r="T127" i="13"/>
  <c r="O129" i="13"/>
  <c r="T129" i="13"/>
  <c r="U129" i="13"/>
  <c r="B129" i="13"/>
  <c r="B127" i="13"/>
  <c r="D129" i="13"/>
  <c r="M113" i="13"/>
  <c r="R114" i="13"/>
  <c r="M116" i="13"/>
  <c r="R116" i="13"/>
  <c r="N113" i="13"/>
  <c r="S114" i="13"/>
  <c r="N116" i="13"/>
  <c r="S116" i="13"/>
  <c r="O113" i="13"/>
  <c r="T114" i="13"/>
  <c r="O116" i="13"/>
  <c r="T116" i="13"/>
  <c r="U116" i="13"/>
  <c r="B116" i="13"/>
  <c r="B114" i="13"/>
  <c r="D116" i="13"/>
  <c r="M100" i="13"/>
  <c r="R101" i="13"/>
  <c r="M103" i="13"/>
  <c r="R103" i="13"/>
  <c r="N100" i="13"/>
  <c r="S101" i="13"/>
  <c r="N103" i="13"/>
  <c r="S103" i="13"/>
  <c r="O100" i="13"/>
  <c r="T101" i="13"/>
  <c r="O103" i="13"/>
  <c r="T103" i="13"/>
  <c r="U103" i="13"/>
  <c r="B103" i="13"/>
  <c r="B101" i="13"/>
  <c r="D103" i="13"/>
  <c r="M87" i="13"/>
  <c r="R88" i="13"/>
  <c r="M90" i="13"/>
  <c r="R90" i="13"/>
  <c r="N87" i="13"/>
  <c r="S88" i="13"/>
  <c r="N90" i="13"/>
  <c r="S90" i="13"/>
  <c r="O87" i="13"/>
  <c r="T88" i="13"/>
  <c r="O90" i="13"/>
  <c r="T90" i="13"/>
  <c r="U90" i="13"/>
  <c r="B90" i="13"/>
  <c r="B88" i="13"/>
  <c r="D90" i="13"/>
  <c r="M74" i="13"/>
  <c r="R75" i="13"/>
  <c r="M77" i="13"/>
  <c r="R77" i="13"/>
  <c r="N74" i="13"/>
  <c r="S75" i="13"/>
  <c r="N77" i="13"/>
  <c r="S77" i="13"/>
  <c r="O74" i="13"/>
  <c r="T75" i="13"/>
  <c r="O77" i="13"/>
  <c r="T77" i="13"/>
  <c r="U77" i="13"/>
  <c r="B77" i="13"/>
  <c r="B75" i="13"/>
  <c r="D77" i="13"/>
  <c r="M61" i="13"/>
  <c r="R62" i="13"/>
  <c r="M64" i="13"/>
  <c r="R64" i="13"/>
  <c r="N61" i="13"/>
  <c r="S62" i="13"/>
  <c r="N64" i="13"/>
  <c r="S64" i="13"/>
  <c r="O61" i="13"/>
  <c r="T62" i="13"/>
  <c r="O64" i="13"/>
  <c r="T64" i="13"/>
  <c r="U64" i="13"/>
  <c r="B64" i="13"/>
  <c r="B62" i="13"/>
  <c r="D64" i="13"/>
  <c r="M48" i="13"/>
  <c r="R49" i="13"/>
  <c r="M51" i="13"/>
  <c r="R51" i="13"/>
  <c r="N48" i="13"/>
  <c r="S49" i="13"/>
  <c r="N51" i="13"/>
  <c r="S51" i="13"/>
  <c r="O48" i="13"/>
  <c r="T49" i="13"/>
  <c r="O51" i="13"/>
  <c r="T51" i="13"/>
  <c r="U51" i="13"/>
  <c r="B51" i="13"/>
  <c r="B49" i="13"/>
  <c r="D51" i="13"/>
  <c r="M35" i="13"/>
  <c r="R36" i="13"/>
  <c r="M38" i="13"/>
  <c r="R38" i="13"/>
  <c r="N35" i="13"/>
  <c r="S36" i="13"/>
  <c r="N38" i="13"/>
  <c r="S38" i="13"/>
  <c r="O35" i="13"/>
  <c r="T36" i="13"/>
  <c r="O38" i="13"/>
  <c r="T38" i="13"/>
  <c r="U38" i="13"/>
  <c r="B38" i="13"/>
  <c r="B36" i="13"/>
  <c r="D38" i="13"/>
  <c r="M22" i="13"/>
  <c r="R23" i="13"/>
  <c r="M25" i="13"/>
  <c r="R25" i="13"/>
  <c r="N22" i="13"/>
  <c r="S23" i="13"/>
  <c r="N25" i="13"/>
  <c r="S25" i="13"/>
  <c r="O22" i="13"/>
  <c r="T23" i="13"/>
  <c r="O25" i="13"/>
  <c r="T25" i="13"/>
  <c r="U25" i="13"/>
  <c r="B25" i="13"/>
  <c r="B23" i="13"/>
  <c r="D25" i="13"/>
  <c r="R10" i="13"/>
  <c r="R13" i="13"/>
  <c r="S10" i="13"/>
  <c r="S13" i="13"/>
  <c r="T10" i="13"/>
  <c r="T13" i="13"/>
  <c r="U13" i="13"/>
  <c r="B13" i="13"/>
  <c r="M135" i="13"/>
  <c r="R135" i="13"/>
  <c r="N135" i="13"/>
  <c r="S135" i="13"/>
  <c r="O135" i="13"/>
  <c r="T135" i="13"/>
  <c r="U135" i="13"/>
  <c r="M134" i="13"/>
  <c r="R134" i="13"/>
  <c r="N134" i="13"/>
  <c r="S134" i="13"/>
  <c r="O134" i="13"/>
  <c r="T134" i="13"/>
  <c r="U134" i="13"/>
  <c r="M133" i="13"/>
  <c r="R133" i="13"/>
  <c r="N133" i="13"/>
  <c r="S133" i="13"/>
  <c r="O133" i="13"/>
  <c r="T133" i="13"/>
  <c r="U133" i="13"/>
  <c r="M132" i="13"/>
  <c r="R132" i="13"/>
  <c r="N132" i="13"/>
  <c r="S132" i="13"/>
  <c r="O132" i="13"/>
  <c r="T132" i="13"/>
  <c r="U132" i="13"/>
  <c r="M131" i="13"/>
  <c r="R131" i="13"/>
  <c r="N131" i="13"/>
  <c r="S131" i="13"/>
  <c r="O131" i="13"/>
  <c r="T131" i="13"/>
  <c r="U131" i="13"/>
  <c r="M130" i="13"/>
  <c r="R130" i="13"/>
  <c r="N130" i="13"/>
  <c r="S130" i="13"/>
  <c r="O130" i="13"/>
  <c r="T130" i="13"/>
  <c r="U130" i="13"/>
  <c r="O125" i="13"/>
  <c r="N125" i="13"/>
  <c r="M125" i="13"/>
  <c r="M122" i="13"/>
  <c r="R122" i="13"/>
  <c r="N122" i="13"/>
  <c r="S122" i="13"/>
  <c r="O122" i="13"/>
  <c r="T122" i="13"/>
  <c r="U122" i="13"/>
  <c r="M121" i="13"/>
  <c r="R121" i="13"/>
  <c r="N121" i="13"/>
  <c r="S121" i="13"/>
  <c r="O121" i="13"/>
  <c r="T121" i="13"/>
  <c r="U121" i="13"/>
  <c r="M120" i="13"/>
  <c r="R120" i="13"/>
  <c r="N120" i="13"/>
  <c r="S120" i="13"/>
  <c r="O120" i="13"/>
  <c r="T120" i="13"/>
  <c r="U120" i="13"/>
  <c r="M119" i="13"/>
  <c r="R119" i="13"/>
  <c r="N119" i="13"/>
  <c r="S119" i="13"/>
  <c r="O119" i="13"/>
  <c r="T119" i="13"/>
  <c r="U119" i="13"/>
  <c r="M118" i="13"/>
  <c r="R118" i="13"/>
  <c r="N118" i="13"/>
  <c r="S118" i="13"/>
  <c r="O118" i="13"/>
  <c r="T118" i="13"/>
  <c r="U118" i="13"/>
  <c r="M117" i="13"/>
  <c r="R117" i="13"/>
  <c r="N117" i="13"/>
  <c r="S117" i="13"/>
  <c r="O117" i="13"/>
  <c r="T117" i="13"/>
  <c r="U117" i="13"/>
  <c r="O112" i="13"/>
  <c r="N112" i="13"/>
  <c r="M112" i="13"/>
  <c r="M109" i="13"/>
  <c r="R109" i="13"/>
  <c r="N109" i="13"/>
  <c r="S109" i="13"/>
  <c r="O109" i="13"/>
  <c r="T109" i="13"/>
  <c r="U109" i="13"/>
  <c r="M108" i="13"/>
  <c r="R108" i="13"/>
  <c r="N108" i="13"/>
  <c r="S108" i="13"/>
  <c r="O108" i="13"/>
  <c r="T108" i="13"/>
  <c r="U108" i="13"/>
  <c r="M107" i="13"/>
  <c r="R107" i="13"/>
  <c r="N107" i="13"/>
  <c r="S107" i="13"/>
  <c r="O107" i="13"/>
  <c r="T107" i="13"/>
  <c r="U107" i="13"/>
  <c r="M106" i="13"/>
  <c r="R106" i="13"/>
  <c r="N106" i="13"/>
  <c r="S106" i="13"/>
  <c r="O106" i="13"/>
  <c r="T106" i="13"/>
  <c r="U106" i="13"/>
  <c r="M105" i="13"/>
  <c r="R105" i="13"/>
  <c r="N105" i="13"/>
  <c r="S105" i="13"/>
  <c r="O105" i="13"/>
  <c r="T105" i="13"/>
  <c r="U105" i="13"/>
  <c r="M104" i="13"/>
  <c r="R104" i="13"/>
  <c r="N104" i="13"/>
  <c r="S104" i="13"/>
  <c r="O104" i="13"/>
  <c r="T104" i="13"/>
  <c r="U104" i="13"/>
  <c r="O99" i="13"/>
  <c r="N99" i="13"/>
  <c r="M99" i="13"/>
  <c r="M96" i="13"/>
  <c r="R96" i="13"/>
  <c r="N96" i="13"/>
  <c r="S96" i="13"/>
  <c r="O96" i="13"/>
  <c r="T96" i="13"/>
  <c r="U96" i="13"/>
  <c r="M95" i="13"/>
  <c r="R95" i="13"/>
  <c r="N95" i="13"/>
  <c r="S95" i="13"/>
  <c r="O95" i="13"/>
  <c r="T95" i="13"/>
  <c r="U95" i="13"/>
  <c r="M94" i="13"/>
  <c r="R94" i="13"/>
  <c r="N94" i="13"/>
  <c r="S94" i="13"/>
  <c r="O94" i="13"/>
  <c r="T94" i="13"/>
  <c r="U94" i="13"/>
  <c r="M93" i="13"/>
  <c r="R93" i="13"/>
  <c r="N93" i="13"/>
  <c r="S93" i="13"/>
  <c r="O93" i="13"/>
  <c r="T93" i="13"/>
  <c r="U93" i="13"/>
  <c r="M92" i="13"/>
  <c r="R92" i="13"/>
  <c r="N92" i="13"/>
  <c r="S92" i="13"/>
  <c r="O92" i="13"/>
  <c r="T92" i="13"/>
  <c r="U92" i="13"/>
  <c r="M91" i="13"/>
  <c r="R91" i="13"/>
  <c r="N91" i="13"/>
  <c r="S91" i="13"/>
  <c r="O91" i="13"/>
  <c r="T91" i="13"/>
  <c r="U91" i="13"/>
  <c r="O86" i="13"/>
  <c r="N86" i="13"/>
  <c r="M86" i="13"/>
  <c r="M83" i="13"/>
  <c r="R83" i="13"/>
  <c r="N83" i="13"/>
  <c r="S83" i="13"/>
  <c r="O83" i="13"/>
  <c r="T83" i="13"/>
  <c r="U83" i="13"/>
  <c r="M82" i="13"/>
  <c r="R82" i="13"/>
  <c r="N82" i="13"/>
  <c r="S82" i="13"/>
  <c r="O82" i="13"/>
  <c r="T82" i="13"/>
  <c r="U82" i="13"/>
  <c r="M81" i="13"/>
  <c r="R81" i="13"/>
  <c r="N81" i="13"/>
  <c r="S81" i="13"/>
  <c r="O81" i="13"/>
  <c r="T81" i="13"/>
  <c r="U81" i="13"/>
  <c r="M80" i="13"/>
  <c r="R80" i="13"/>
  <c r="N80" i="13"/>
  <c r="S80" i="13"/>
  <c r="O80" i="13"/>
  <c r="T80" i="13"/>
  <c r="U80" i="13"/>
  <c r="M79" i="13"/>
  <c r="R79" i="13"/>
  <c r="N79" i="13"/>
  <c r="S79" i="13"/>
  <c r="O79" i="13"/>
  <c r="T79" i="13"/>
  <c r="U79" i="13"/>
  <c r="M78" i="13"/>
  <c r="R78" i="13"/>
  <c r="N78" i="13"/>
  <c r="S78" i="13"/>
  <c r="O78" i="13"/>
  <c r="T78" i="13"/>
  <c r="U78" i="13"/>
  <c r="O73" i="13"/>
  <c r="N73" i="13"/>
  <c r="M73" i="13"/>
  <c r="M70" i="13"/>
  <c r="R70" i="13"/>
  <c r="N70" i="13"/>
  <c r="S70" i="13"/>
  <c r="O70" i="13"/>
  <c r="T70" i="13"/>
  <c r="U70" i="13"/>
  <c r="M69" i="13"/>
  <c r="R69" i="13"/>
  <c r="N69" i="13"/>
  <c r="S69" i="13"/>
  <c r="O69" i="13"/>
  <c r="T69" i="13"/>
  <c r="U69" i="13"/>
  <c r="M68" i="13"/>
  <c r="R68" i="13"/>
  <c r="N68" i="13"/>
  <c r="S68" i="13"/>
  <c r="O68" i="13"/>
  <c r="T68" i="13"/>
  <c r="U68" i="13"/>
  <c r="M67" i="13"/>
  <c r="R67" i="13"/>
  <c r="N67" i="13"/>
  <c r="S67" i="13"/>
  <c r="O67" i="13"/>
  <c r="T67" i="13"/>
  <c r="U67" i="13"/>
  <c r="M66" i="13"/>
  <c r="R66" i="13"/>
  <c r="N66" i="13"/>
  <c r="S66" i="13"/>
  <c r="O66" i="13"/>
  <c r="T66" i="13"/>
  <c r="U66" i="13"/>
  <c r="M65" i="13"/>
  <c r="R65" i="13"/>
  <c r="N65" i="13"/>
  <c r="S65" i="13"/>
  <c r="O65" i="13"/>
  <c r="T65" i="13"/>
  <c r="U65" i="13"/>
  <c r="O60" i="13"/>
  <c r="N60" i="13"/>
  <c r="M60" i="13"/>
  <c r="M57" i="13"/>
  <c r="R57" i="13"/>
  <c r="N57" i="13"/>
  <c r="S57" i="13"/>
  <c r="O57" i="13"/>
  <c r="T57" i="13"/>
  <c r="U57" i="13"/>
  <c r="M56" i="13"/>
  <c r="R56" i="13"/>
  <c r="N56" i="13"/>
  <c r="S56" i="13"/>
  <c r="O56" i="13"/>
  <c r="T56" i="13"/>
  <c r="U56" i="13"/>
  <c r="M55" i="13"/>
  <c r="R55" i="13"/>
  <c r="N55" i="13"/>
  <c r="S55" i="13"/>
  <c r="O55" i="13"/>
  <c r="T55" i="13"/>
  <c r="U55" i="13"/>
  <c r="M54" i="13"/>
  <c r="R54" i="13"/>
  <c r="N54" i="13"/>
  <c r="S54" i="13"/>
  <c r="O54" i="13"/>
  <c r="T54" i="13"/>
  <c r="U54" i="13"/>
  <c r="M53" i="13"/>
  <c r="R53" i="13"/>
  <c r="N53" i="13"/>
  <c r="S53" i="13"/>
  <c r="O53" i="13"/>
  <c r="T53" i="13"/>
  <c r="U53" i="13"/>
  <c r="M52" i="13"/>
  <c r="R52" i="13"/>
  <c r="N52" i="13"/>
  <c r="S52" i="13"/>
  <c r="O52" i="13"/>
  <c r="T52" i="13"/>
  <c r="U52" i="13"/>
  <c r="O47" i="13"/>
  <c r="N47" i="13"/>
  <c r="M47" i="13"/>
  <c r="M44" i="13"/>
  <c r="R44" i="13"/>
  <c r="N44" i="13"/>
  <c r="S44" i="13"/>
  <c r="O44" i="13"/>
  <c r="T44" i="13"/>
  <c r="U44" i="13"/>
  <c r="M43" i="13"/>
  <c r="R43" i="13"/>
  <c r="N43" i="13"/>
  <c r="S43" i="13"/>
  <c r="O43" i="13"/>
  <c r="T43" i="13"/>
  <c r="U43" i="13"/>
  <c r="M42" i="13"/>
  <c r="R42" i="13"/>
  <c r="N42" i="13"/>
  <c r="S42" i="13"/>
  <c r="O42" i="13"/>
  <c r="T42" i="13"/>
  <c r="U42" i="13"/>
  <c r="M41" i="13"/>
  <c r="R41" i="13"/>
  <c r="N41" i="13"/>
  <c r="S41" i="13"/>
  <c r="O41" i="13"/>
  <c r="T41" i="13"/>
  <c r="U41" i="13"/>
  <c r="M40" i="13"/>
  <c r="R40" i="13"/>
  <c r="N40" i="13"/>
  <c r="S40" i="13"/>
  <c r="O40" i="13"/>
  <c r="T40" i="13"/>
  <c r="U40" i="13"/>
  <c r="M39" i="13"/>
  <c r="R39" i="13"/>
  <c r="N39" i="13"/>
  <c r="S39" i="13"/>
  <c r="O39" i="13"/>
  <c r="T39" i="13"/>
  <c r="U39" i="13"/>
  <c r="O34" i="13"/>
  <c r="N34" i="13"/>
  <c r="M34" i="13"/>
  <c r="M31" i="13"/>
  <c r="R31" i="13"/>
  <c r="N31" i="13"/>
  <c r="S31" i="13"/>
  <c r="O31" i="13"/>
  <c r="T31" i="13"/>
  <c r="U31" i="13"/>
  <c r="M30" i="13"/>
  <c r="R30" i="13"/>
  <c r="N30" i="13"/>
  <c r="S30" i="13"/>
  <c r="O30" i="13"/>
  <c r="T30" i="13"/>
  <c r="U30" i="13"/>
  <c r="M29" i="13"/>
  <c r="R29" i="13"/>
  <c r="N29" i="13"/>
  <c r="S29" i="13"/>
  <c r="O29" i="13"/>
  <c r="T29" i="13"/>
  <c r="U29" i="13"/>
  <c r="M28" i="13"/>
  <c r="R28" i="13"/>
  <c r="N28" i="13"/>
  <c r="S28" i="13"/>
  <c r="O28" i="13"/>
  <c r="T28" i="13"/>
  <c r="U28" i="13"/>
  <c r="M27" i="13"/>
  <c r="R27" i="13"/>
  <c r="N27" i="13"/>
  <c r="S27" i="13"/>
  <c r="O27" i="13"/>
  <c r="T27" i="13"/>
  <c r="U27" i="13"/>
  <c r="M26" i="13"/>
  <c r="R26" i="13"/>
  <c r="N26" i="13"/>
  <c r="S26" i="13"/>
  <c r="O26" i="13"/>
  <c r="T26" i="13"/>
  <c r="U26" i="13"/>
  <c r="O21" i="13"/>
  <c r="N21" i="13"/>
  <c r="M21" i="13"/>
  <c r="M9" i="13"/>
  <c r="M12" i="13"/>
  <c r="R12" i="13"/>
  <c r="N9" i="13"/>
  <c r="N12" i="13"/>
  <c r="S12" i="13"/>
  <c r="O9" i="13"/>
  <c r="O12" i="13"/>
  <c r="T12" i="13"/>
  <c r="U12" i="13"/>
  <c r="B12" i="13"/>
  <c r="B135" i="13"/>
  <c r="B134" i="13"/>
  <c r="B133" i="13"/>
  <c r="B132" i="13"/>
  <c r="B131" i="13"/>
  <c r="B130" i="13"/>
  <c r="B122" i="13"/>
  <c r="B121" i="13"/>
  <c r="B120" i="13"/>
  <c r="B119" i="13"/>
  <c r="B118" i="13"/>
  <c r="B117" i="13"/>
  <c r="B109" i="13"/>
  <c r="B108" i="13"/>
  <c r="B107" i="13"/>
  <c r="B106" i="13"/>
  <c r="B105" i="13"/>
  <c r="B104" i="13"/>
  <c r="B96" i="13"/>
  <c r="B95" i="13"/>
  <c r="B94" i="13"/>
  <c r="B93" i="13"/>
  <c r="B92" i="13"/>
  <c r="B91" i="13"/>
  <c r="B83" i="13"/>
  <c r="B82" i="13"/>
  <c r="B81" i="13"/>
  <c r="B80" i="13"/>
  <c r="B79" i="13"/>
  <c r="B78" i="13"/>
  <c r="B70" i="13"/>
  <c r="B69" i="13"/>
  <c r="B68" i="13"/>
  <c r="B67" i="13"/>
  <c r="B66" i="13"/>
  <c r="B65" i="13"/>
  <c r="B57" i="13"/>
  <c r="B56" i="13"/>
  <c r="B55" i="13"/>
  <c r="B54" i="13"/>
  <c r="B53" i="13"/>
  <c r="B52" i="13"/>
  <c r="B44" i="13"/>
  <c r="B43" i="13"/>
  <c r="B42" i="13"/>
  <c r="B41" i="13"/>
  <c r="B40" i="13"/>
  <c r="B39" i="13"/>
  <c r="B31" i="13"/>
  <c r="B30" i="13"/>
  <c r="B29" i="13"/>
  <c r="B28" i="13"/>
  <c r="B27" i="13"/>
  <c r="B26" i="13"/>
  <c r="D21" i="13"/>
  <c r="D20" i="13"/>
  <c r="D22" i="13"/>
  <c r="D24" i="13"/>
  <c r="D34" i="13"/>
  <c r="D33" i="13"/>
  <c r="D35" i="13"/>
  <c r="D37" i="13"/>
  <c r="D47" i="13"/>
  <c r="D46" i="13"/>
  <c r="D48" i="13"/>
  <c r="D50" i="13"/>
  <c r="D60" i="13"/>
  <c r="D59" i="13"/>
  <c r="D61" i="13"/>
  <c r="D63" i="13"/>
  <c r="D73" i="13"/>
  <c r="D72" i="13"/>
  <c r="D74" i="13"/>
  <c r="D76" i="13"/>
  <c r="D86" i="13"/>
  <c r="D85" i="13"/>
  <c r="D87" i="13"/>
  <c r="D89" i="13"/>
  <c r="D99" i="13"/>
  <c r="D98" i="13"/>
  <c r="D100" i="13"/>
  <c r="D102" i="13"/>
  <c r="D112" i="13"/>
  <c r="D111" i="13"/>
  <c r="D113" i="13"/>
  <c r="D115" i="13"/>
  <c r="D125" i="13"/>
  <c r="D124" i="13"/>
  <c r="D126" i="13"/>
  <c r="D128" i="13"/>
  <c r="B10" i="13"/>
  <c r="D12" i="13"/>
  <c r="M18" i="13"/>
  <c r="R18" i="13"/>
  <c r="N18" i="13"/>
  <c r="S18" i="13"/>
  <c r="O18" i="13"/>
  <c r="T18" i="13"/>
  <c r="U18" i="13"/>
  <c r="B18" i="13"/>
  <c r="M17" i="13"/>
  <c r="R17" i="13"/>
  <c r="N17" i="13"/>
  <c r="S17" i="13"/>
  <c r="O17" i="13"/>
  <c r="T17" i="13"/>
  <c r="U17" i="13"/>
  <c r="B17" i="13"/>
  <c r="M16" i="13"/>
  <c r="R16" i="13"/>
  <c r="N16" i="13"/>
  <c r="S16" i="13"/>
  <c r="O16" i="13"/>
  <c r="T16" i="13"/>
  <c r="U16" i="13"/>
  <c r="B16" i="13"/>
  <c r="M15" i="13"/>
  <c r="R15" i="13"/>
  <c r="N15" i="13"/>
  <c r="S15" i="13"/>
  <c r="O15" i="13"/>
  <c r="T15" i="13"/>
  <c r="U15" i="13"/>
  <c r="B15" i="13"/>
  <c r="M14" i="13"/>
  <c r="R14" i="13"/>
  <c r="N14" i="13"/>
  <c r="S14" i="13"/>
  <c r="O14" i="13"/>
  <c r="T14" i="13"/>
  <c r="U14" i="13"/>
  <c r="B14" i="13"/>
  <c r="M13" i="13"/>
  <c r="N13" i="13"/>
  <c r="O13" i="13"/>
  <c r="O8" i="13"/>
  <c r="N8" i="13"/>
  <c r="M8" i="13"/>
  <c r="G173" i="7"/>
  <c r="G174" i="7"/>
  <c r="G175" i="7"/>
  <c r="G176" i="7"/>
  <c r="K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206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206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206" i="7"/>
  <c r="D9" i="13"/>
  <c r="B145" i="13"/>
  <c r="D8" i="13"/>
  <c r="D7" i="13"/>
  <c r="H173" i="7"/>
  <c r="I173" i="7"/>
  <c r="H174" i="7"/>
  <c r="I174" i="7"/>
  <c r="D11" i="13"/>
  <c r="S24" i="7"/>
  <c r="O24" i="7"/>
  <c r="S19" i="7"/>
  <c r="T19" i="7"/>
  <c r="U19" i="7"/>
  <c r="V19" i="7"/>
  <c r="W19" i="7"/>
  <c r="H19" i="7"/>
  <c r="S20" i="7"/>
  <c r="T20" i="7"/>
  <c r="U20" i="7"/>
  <c r="V20" i="7"/>
  <c r="S21" i="7"/>
  <c r="T21" i="7"/>
  <c r="U21" i="7"/>
  <c r="V21" i="7"/>
  <c r="H18" i="7"/>
  <c r="H20" i="7"/>
  <c r="I20" i="7"/>
  <c r="O19" i="7"/>
  <c r="P19" i="7"/>
  <c r="Q19" i="7"/>
  <c r="H21" i="7"/>
  <c r="S22" i="7"/>
  <c r="P21" i="7"/>
  <c r="T22" i="7"/>
  <c r="U22" i="7"/>
  <c r="S23" i="7"/>
  <c r="T23" i="7"/>
  <c r="U23" i="7"/>
  <c r="T24" i="7"/>
  <c r="U24" i="7"/>
  <c r="I19" i="7"/>
  <c r="R20" i="7"/>
  <c r="P20" i="7"/>
  <c r="I21" i="7"/>
  <c r="Q20" i="7"/>
  <c r="V22" i="7"/>
  <c r="W22" i="7"/>
  <c r="O22" i="7"/>
  <c r="W20" i="7"/>
  <c r="O20" i="7"/>
  <c r="Q21" i="7"/>
  <c r="O21" i="7"/>
  <c r="P22" i="7"/>
  <c r="H22" i="7"/>
  <c r="I22" i="7"/>
  <c r="V23" i="7"/>
  <c r="R23" i="7"/>
  <c r="O23" i="7"/>
  <c r="V24" i="7"/>
  <c r="W24" i="7"/>
  <c r="Q22" i="7"/>
  <c r="Q23" i="7"/>
  <c r="P23" i="7"/>
  <c r="H23" i="7"/>
  <c r="I23" i="7"/>
  <c r="Q24" i="7"/>
  <c r="P24" i="7"/>
  <c r="H24" i="7"/>
  <c r="I24" i="7"/>
  <c r="R22" i="7"/>
  <c r="W23" i="7"/>
  <c r="R19" i="7"/>
  <c r="W21" i="7"/>
  <c r="R21" i="7"/>
  <c r="R24" i="7"/>
  <c r="H65" i="7"/>
  <c r="I65" i="7"/>
  <c r="H66" i="7"/>
  <c r="I66" i="7"/>
  <c r="H67" i="7"/>
  <c r="I67" i="7"/>
  <c r="H68" i="7"/>
  <c r="I68" i="7"/>
  <c r="H69" i="7"/>
  <c r="I69" i="7"/>
  <c r="H70" i="7"/>
  <c r="I70" i="7"/>
  <c r="S67" i="7"/>
  <c r="T67" i="7"/>
  <c r="U67" i="7"/>
  <c r="S70" i="7"/>
  <c r="T70" i="7"/>
  <c r="U70" i="7"/>
  <c r="S68" i="7"/>
  <c r="S69" i="7"/>
  <c r="T68" i="7"/>
  <c r="T69" i="7"/>
  <c r="U68" i="7"/>
  <c r="U69" i="7"/>
  <c r="S65" i="7"/>
  <c r="S66" i="7"/>
  <c r="T65" i="7"/>
  <c r="T66" i="7"/>
  <c r="U65" i="7"/>
  <c r="U66" i="7"/>
  <c r="V70" i="7"/>
  <c r="W70" i="7"/>
  <c r="V67" i="7"/>
  <c r="W67" i="7"/>
  <c r="O70" i="7"/>
  <c r="O67" i="7"/>
  <c r="V69" i="7"/>
  <c r="W69" i="7"/>
  <c r="Q67" i="7"/>
  <c r="O66" i="7"/>
  <c r="P67" i="7"/>
  <c r="R70" i="7"/>
  <c r="O69" i="7"/>
  <c r="Q70" i="7"/>
  <c r="V66" i="7"/>
  <c r="W66" i="7"/>
  <c r="P70" i="7"/>
  <c r="P68" i="7"/>
  <c r="Q68" i="7"/>
  <c r="O68" i="7"/>
  <c r="P69" i="7"/>
  <c r="V68" i="7"/>
  <c r="Q69" i="7"/>
  <c r="Q65" i="7"/>
  <c r="O65" i="7"/>
  <c r="P65" i="7"/>
  <c r="P66" i="7"/>
  <c r="R66" i="7"/>
  <c r="V65" i="7"/>
  <c r="Q66" i="7"/>
  <c r="H17" i="7"/>
  <c r="I18" i="7"/>
  <c r="S17" i="7"/>
  <c r="O17" i="7"/>
  <c r="S18" i="7"/>
  <c r="T17" i="7"/>
  <c r="T18" i="7"/>
  <c r="P18" i="7"/>
  <c r="U17" i="7"/>
  <c r="U18" i="7"/>
  <c r="R67" i="7"/>
  <c r="R69" i="7"/>
  <c r="W68" i="7"/>
  <c r="R68" i="7"/>
  <c r="W65" i="7"/>
  <c r="R65" i="7"/>
  <c r="V18" i="7"/>
  <c r="R18" i="7"/>
  <c r="V17" i="7"/>
  <c r="W17" i="7"/>
  <c r="P17" i="7"/>
  <c r="I17" i="7"/>
  <c r="Q18" i="7"/>
  <c r="O18" i="7"/>
  <c r="Q17" i="7"/>
  <c r="W18" i="7"/>
  <c r="R17" i="7"/>
  <c r="A138" i="13"/>
  <c r="H206" i="7"/>
  <c r="I206" i="7"/>
  <c r="H189" i="7"/>
  <c r="I189" i="7"/>
  <c r="H185" i="7"/>
  <c r="I185" i="7"/>
  <c r="H181" i="7"/>
  <c r="I181" i="7"/>
  <c r="H177" i="7"/>
  <c r="I177" i="7"/>
  <c r="H169" i="7"/>
  <c r="I169" i="7"/>
  <c r="H165" i="7"/>
  <c r="I165" i="7"/>
  <c r="H161" i="7"/>
  <c r="I161" i="7"/>
  <c r="H157" i="7"/>
  <c r="I157" i="7"/>
  <c r="H153" i="7"/>
  <c r="I153" i="7"/>
  <c r="H149" i="7"/>
  <c r="I149" i="7"/>
  <c r="H145" i="7"/>
  <c r="I145" i="7"/>
  <c r="H141" i="7"/>
  <c r="I141" i="7"/>
  <c r="H137" i="7"/>
  <c r="I137" i="7"/>
  <c r="H133" i="7"/>
  <c r="I133" i="7"/>
  <c r="H129" i="7"/>
  <c r="I129" i="7"/>
  <c r="H125" i="7"/>
  <c r="I125" i="7"/>
  <c r="H121" i="7"/>
  <c r="I121" i="7"/>
  <c r="H117" i="7"/>
  <c r="I117" i="7"/>
  <c r="H113" i="7"/>
  <c r="I113" i="7"/>
  <c r="H109" i="7"/>
  <c r="I109" i="7"/>
  <c r="H105" i="7"/>
  <c r="I105" i="7"/>
  <c r="H101" i="7"/>
  <c r="I101" i="7"/>
  <c r="H97" i="7"/>
  <c r="I97" i="7"/>
  <c r="H93" i="7"/>
  <c r="I93" i="7"/>
  <c r="H89" i="7"/>
  <c r="I89" i="7"/>
  <c r="H85" i="7"/>
  <c r="I85" i="7"/>
  <c r="H81" i="7"/>
  <c r="I81" i="7"/>
  <c r="H77" i="7"/>
  <c r="I77" i="7"/>
  <c r="H73" i="7"/>
  <c r="I73" i="7"/>
  <c r="H63" i="7"/>
  <c r="I63" i="7"/>
  <c r="H59" i="7"/>
  <c r="I59" i="7"/>
  <c r="H55" i="7"/>
  <c r="I55" i="7"/>
  <c r="H51" i="7"/>
  <c r="I51" i="7"/>
  <c r="H47" i="7"/>
  <c r="I47" i="7"/>
  <c r="H43" i="7"/>
  <c r="I43" i="7"/>
  <c r="H39" i="7"/>
  <c r="I39" i="7"/>
  <c r="H35" i="7"/>
  <c r="I35" i="7"/>
  <c r="H31" i="7"/>
  <c r="I31" i="7"/>
  <c r="H27" i="7"/>
  <c r="I27" i="7"/>
  <c r="H15" i="7"/>
  <c r="I15" i="7"/>
  <c r="H11" i="7"/>
  <c r="I11" i="7"/>
  <c r="H7" i="7"/>
  <c r="I7" i="7"/>
  <c r="H3" i="7"/>
  <c r="I3" i="7"/>
  <c r="H188" i="7"/>
  <c r="I188" i="7"/>
  <c r="H184" i="7"/>
  <c r="I184" i="7"/>
  <c r="H180" i="7"/>
  <c r="I180" i="7"/>
  <c r="H176" i="7"/>
  <c r="I176" i="7"/>
  <c r="H172" i="7"/>
  <c r="I172" i="7"/>
  <c r="H168" i="7"/>
  <c r="I168" i="7"/>
  <c r="H164" i="7"/>
  <c r="I164" i="7"/>
  <c r="H160" i="7"/>
  <c r="I160" i="7"/>
  <c r="H156" i="7"/>
  <c r="I156" i="7"/>
  <c r="H152" i="7"/>
  <c r="I152" i="7"/>
  <c r="H148" i="7"/>
  <c r="I148" i="7"/>
  <c r="H144" i="7"/>
  <c r="I144" i="7"/>
  <c r="H140" i="7"/>
  <c r="I140" i="7"/>
  <c r="H136" i="7"/>
  <c r="I136" i="7"/>
  <c r="H132" i="7"/>
  <c r="I132" i="7"/>
  <c r="H128" i="7"/>
  <c r="I128" i="7"/>
  <c r="H124" i="7"/>
  <c r="I124" i="7"/>
  <c r="H120" i="7"/>
  <c r="I120" i="7"/>
  <c r="H116" i="7"/>
  <c r="I116" i="7"/>
  <c r="H112" i="7"/>
  <c r="I112" i="7"/>
  <c r="H108" i="7"/>
  <c r="I108" i="7"/>
  <c r="H104" i="7"/>
  <c r="I104" i="7"/>
  <c r="H100" i="7"/>
  <c r="I100" i="7"/>
  <c r="H96" i="7"/>
  <c r="I96" i="7"/>
  <c r="H92" i="7"/>
  <c r="I92" i="7"/>
  <c r="H88" i="7"/>
  <c r="I88" i="7"/>
  <c r="H84" i="7"/>
  <c r="I84" i="7"/>
  <c r="H80" i="7"/>
  <c r="I80" i="7"/>
  <c r="H76" i="7"/>
  <c r="I76" i="7"/>
  <c r="H72" i="7"/>
  <c r="I72" i="7"/>
  <c r="H62" i="7"/>
  <c r="I62" i="7"/>
  <c r="H58" i="7"/>
  <c r="I58" i="7"/>
  <c r="H54" i="7"/>
  <c r="I54" i="7"/>
  <c r="H50" i="7"/>
  <c r="I50" i="7"/>
  <c r="H46" i="7"/>
  <c r="I46" i="7"/>
  <c r="H42" i="7"/>
  <c r="I42" i="7"/>
  <c r="H38" i="7"/>
  <c r="I38" i="7"/>
  <c r="H34" i="7"/>
  <c r="I34" i="7"/>
  <c r="H30" i="7"/>
  <c r="I30" i="7"/>
  <c r="H26" i="7"/>
  <c r="I26" i="7"/>
  <c r="H14" i="7"/>
  <c r="I14" i="7"/>
  <c r="H10" i="7"/>
  <c r="I10" i="7"/>
  <c r="H6" i="7"/>
  <c r="I6" i="7"/>
  <c r="H2" i="7"/>
  <c r="I2" i="7"/>
  <c r="H191" i="7"/>
  <c r="I191" i="7"/>
  <c r="H187" i="7"/>
  <c r="I187" i="7"/>
  <c r="H183" i="7"/>
  <c r="I183" i="7"/>
  <c r="H179" i="7"/>
  <c r="I179" i="7"/>
  <c r="H175" i="7"/>
  <c r="I175" i="7"/>
  <c r="H171" i="7"/>
  <c r="I171" i="7"/>
  <c r="H167" i="7"/>
  <c r="I167" i="7"/>
  <c r="H163" i="7"/>
  <c r="I163" i="7"/>
  <c r="H159" i="7"/>
  <c r="I159" i="7"/>
  <c r="H155" i="7"/>
  <c r="I155" i="7"/>
  <c r="H151" i="7"/>
  <c r="I151" i="7"/>
  <c r="H147" i="7"/>
  <c r="I147" i="7"/>
  <c r="H143" i="7"/>
  <c r="I143" i="7"/>
  <c r="H139" i="7"/>
  <c r="I139" i="7"/>
  <c r="H135" i="7"/>
  <c r="I135" i="7"/>
  <c r="H131" i="7"/>
  <c r="I131" i="7"/>
  <c r="H127" i="7"/>
  <c r="I127" i="7"/>
  <c r="H123" i="7"/>
  <c r="I123" i="7"/>
  <c r="H119" i="7"/>
  <c r="I119" i="7"/>
  <c r="H115" i="7"/>
  <c r="I115" i="7"/>
  <c r="H111" i="7"/>
  <c r="I111" i="7"/>
  <c r="H107" i="7"/>
  <c r="I107" i="7"/>
  <c r="H103" i="7"/>
  <c r="I103" i="7"/>
  <c r="H99" i="7"/>
  <c r="I99" i="7"/>
  <c r="H95" i="7"/>
  <c r="I95" i="7"/>
  <c r="H91" i="7"/>
  <c r="I91" i="7"/>
  <c r="H87" i="7"/>
  <c r="I87" i="7"/>
  <c r="H83" i="7"/>
  <c r="I83" i="7"/>
  <c r="H79" i="7"/>
  <c r="I79" i="7"/>
  <c r="H75" i="7"/>
  <c r="I75" i="7"/>
  <c r="H71" i="7"/>
  <c r="I71" i="7"/>
  <c r="H61" i="7"/>
  <c r="I61" i="7"/>
  <c r="H57" i="7"/>
  <c r="I57" i="7"/>
  <c r="H53" i="7"/>
  <c r="I53" i="7"/>
  <c r="H49" i="7"/>
  <c r="I49" i="7"/>
  <c r="H45" i="7"/>
  <c r="I45" i="7"/>
  <c r="H41" i="7"/>
  <c r="I41" i="7"/>
  <c r="H37" i="7"/>
  <c r="I37" i="7"/>
  <c r="H33" i="7"/>
  <c r="I33" i="7"/>
  <c r="H29" i="7"/>
  <c r="I29" i="7"/>
  <c r="H25" i="7"/>
  <c r="I25" i="7"/>
  <c r="H13" i="7"/>
  <c r="I13" i="7"/>
  <c r="H9" i="7"/>
  <c r="I9" i="7"/>
  <c r="H5" i="7"/>
  <c r="I5" i="7"/>
  <c r="H190" i="7"/>
  <c r="I190" i="7"/>
  <c r="H186" i="7"/>
  <c r="I186" i="7"/>
  <c r="H182" i="7"/>
  <c r="I182" i="7"/>
  <c r="H178" i="7"/>
  <c r="I178" i="7"/>
  <c r="H170" i="7"/>
  <c r="I170" i="7"/>
  <c r="H166" i="7"/>
  <c r="I166" i="7"/>
  <c r="H162" i="7"/>
  <c r="I162" i="7"/>
  <c r="H158" i="7"/>
  <c r="I158" i="7"/>
  <c r="H154" i="7"/>
  <c r="I154" i="7"/>
  <c r="H150" i="7"/>
  <c r="I150" i="7"/>
  <c r="H146" i="7"/>
  <c r="I146" i="7"/>
  <c r="H142" i="7"/>
  <c r="I142" i="7"/>
  <c r="H138" i="7"/>
  <c r="I138" i="7"/>
  <c r="H134" i="7"/>
  <c r="I134" i="7"/>
  <c r="H130" i="7"/>
  <c r="I130" i="7"/>
  <c r="H126" i="7"/>
  <c r="I126" i="7"/>
  <c r="H122" i="7"/>
  <c r="I122" i="7"/>
  <c r="H118" i="7"/>
  <c r="I118" i="7"/>
  <c r="H114" i="7"/>
  <c r="I114" i="7"/>
  <c r="H110" i="7"/>
  <c r="I110" i="7"/>
  <c r="H106" i="7"/>
  <c r="I106" i="7"/>
  <c r="H102" i="7"/>
  <c r="I102" i="7"/>
  <c r="H98" i="7"/>
  <c r="I98" i="7"/>
  <c r="H94" i="7"/>
  <c r="I94" i="7"/>
  <c r="H90" i="7"/>
  <c r="I90" i="7"/>
  <c r="H86" i="7"/>
  <c r="I86" i="7"/>
  <c r="H82" i="7"/>
  <c r="I82" i="7"/>
  <c r="H78" i="7"/>
  <c r="I78" i="7"/>
  <c r="H74" i="7"/>
  <c r="I74" i="7"/>
  <c r="H64" i="7"/>
  <c r="I64" i="7"/>
  <c r="H60" i="7"/>
  <c r="I60" i="7"/>
  <c r="H56" i="7"/>
  <c r="I56" i="7"/>
  <c r="H52" i="7"/>
  <c r="I52" i="7"/>
  <c r="H48" i="7"/>
  <c r="I48" i="7"/>
  <c r="H44" i="7"/>
  <c r="I44" i="7"/>
  <c r="H40" i="7"/>
  <c r="I40" i="7"/>
  <c r="H36" i="7"/>
  <c r="I36" i="7"/>
  <c r="H32" i="7"/>
  <c r="I32" i="7"/>
  <c r="H28" i="7"/>
  <c r="I28" i="7"/>
  <c r="H16" i="7"/>
  <c r="I16" i="7"/>
  <c r="H12" i="7"/>
  <c r="I12" i="7"/>
  <c r="H8" i="7"/>
  <c r="I8" i="7"/>
  <c r="H4" i="7"/>
  <c r="I4" i="7"/>
  <c r="C12" i="6"/>
  <c r="C13" i="6"/>
  <c r="C25" i="6"/>
  <c r="C14" i="6"/>
  <c r="B146" i="13"/>
  <c r="B147" i="13"/>
  <c r="B139" i="13"/>
  <c r="B149" i="13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3" i="6"/>
  <c r="C4" i="6"/>
  <c r="C5" i="6"/>
  <c r="C6" i="6"/>
  <c r="C7" i="6"/>
  <c r="C8" i="6"/>
  <c r="C9" i="6"/>
  <c r="C10" i="6"/>
  <c r="C11" i="6"/>
  <c r="C15" i="6"/>
  <c r="C16" i="6"/>
  <c r="C17" i="6"/>
  <c r="C18" i="6"/>
  <c r="C19" i="6"/>
  <c r="C20" i="6"/>
  <c r="C21" i="6"/>
  <c r="C22" i="6"/>
  <c r="C23" i="6"/>
  <c r="C24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2" i="6"/>
  <c r="U167" i="7"/>
  <c r="Q167" i="7"/>
  <c r="S160" i="7"/>
  <c r="O160" i="7"/>
  <c r="S113" i="7"/>
  <c r="O113" i="7"/>
  <c r="S206" i="7"/>
  <c r="O206" i="7"/>
  <c r="S114" i="7"/>
  <c r="O114" i="7"/>
  <c r="S5" i="7"/>
  <c r="O5" i="7"/>
  <c r="S95" i="7"/>
  <c r="O95" i="7"/>
  <c r="S80" i="7"/>
  <c r="O80" i="7"/>
  <c r="S140" i="7"/>
  <c r="O140" i="7"/>
  <c r="S96" i="7"/>
  <c r="O96" i="7"/>
  <c r="S97" i="7"/>
  <c r="O97" i="7"/>
  <c r="S9" i="7"/>
  <c r="O9" i="7"/>
  <c r="S176" i="7"/>
  <c r="O176" i="7"/>
  <c r="S101" i="7"/>
  <c r="O101" i="7"/>
  <c r="S26" i="7"/>
  <c r="O26" i="7"/>
  <c r="S106" i="7"/>
  <c r="O106" i="7"/>
  <c r="S84" i="7"/>
  <c r="O84" i="7"/>
  <c r="S172" i="7"/>
  <c r="O172" i="7"/>
  <c r="S166" i="7"/>
  <c r="O166" i="7"/>
  <c r="S29" i="7"/>
  <c r="O29" i="7"/>
  <c r="S145" i="7"/>
  <c r="O145" i="7"/>
  <c r="S31" i="7"/>
  <c r="O31" i="7"/>
  <c r="S48" i="7"/>
  <c r="O48" i="7"/>
  <c r="S118" i="7"/>
  <c r="O118" i="7"/>
  <c r="S130" i="7"/>
  <c r="O130" i="7"/>
  <c r="S138" i="7"/>
  <c r="O138" i="7"/>
  <c r="S119" i="7"/>
  <c r="O119" i="7"/>
  <c r="S149" i="7"/>
  <c r="O149" i="7"/>
  <c r="S50" i="7"/>
  <c r="O50" i="7"/>
  <c r="S54" i="7"/>
  <c r="O54" i="7"/>
  <c r="S38" i="7"/>
  <c r="O38" i="7"/>
  <c r="S88" i="7"/>
  <c r="O88" i="7"/>
  <c r="S41" i="7"/>
  <c r="O41" i="7"/>
  <c r="S155" i="7"/>
  <c r="O155" i="7"/>
  <c r="S123" i="7"/>
  <c r="O123" i="7"/>
  <c r="S58" i="7"/>
  <c r="O58" i="7"/>
  <c r="S126" i="7"/>
  <c r="O126" i="7"/>
  <c r="S127" i="7"/>
  <c r="O127" i="7"/>
  <c r="T160" i="7"/>
  <c r="P160" i="7"/>
  <c r="T113" i="7"/>
  <c r="P113" i="7"/>
  <c r="T206" i="7"/>
  <c r="P206" i="7"/>
  <c r="T114" i="7"/>
  <c r="P114" i="7"/>
  <c r="T5" i="7"/>
  <c r="P5" i="7"/>
  <c r="T95" i="7"/>
  <c r="P95" i="7"/>
  <c r="T80" i="7"/>
  <c r="P80" i="7"/>
  <c r="T140" i="7"/>
  <c r="P140" i="7"/>
  <c r="T96" i="7"/>
  <c r="P96" i="7"/>
  <c r="T97" i="7"/>
  <c r="P97" i="7"/>
  <c r="T9" i="7"/>
  <c r="P9" i="7"/>
  <c r="T176" i="7"/>
  <c r="P176" i="7"/>
  <c r="T101" i="7"/>
  <c r="P101" i="7"/>
  <c r="T26" i="7"/>
  <c r="P26" i="7"/>
  <c r="T106" i="7"/>
  <c r="P106" i="7"/>
  <c r="T84" i="7"/>
  <c r="P84" i="7"/>
  <c r="T172" i="7"/>
  <c r="P172" i="7"/>
  <c r="T166" i="7"/>
  <c r="P166" i="7"/>
  <c r="T29" i="7"/>
  <c r="P29" i="7"/>
  <c r="T145" i="7"/>
  <c r="P145" i="7"/>
  <c r="T31" i="7"/>
  <c r="P31" i="7"/>
  <c r="T48" i="7"/>
  <c r="P48" i="7"/>
  <c r="T118" i="7"/>
  <c r="P118" i="7"/>
  <c r="T130" i="7"/>
  <c r="P130" i="7"/>
  <c r="T138" i="7"/>
  <c r="P138" i="7"/>
  <c r="S161" i="7"/>
  <c r="O161" i="7"/>
  <c r="S77" i="7"/>
  <c r="O77" i="7"/>
  <c r="S79" i="7"/>
  <c r="O79" i="7"/>
  <c r="S115" i="7"/>
  <c r="O115" i="7"/>
  <c r="S173" i="7"/>
  <c r="O173" i="7"/>
  <c r="S6" i="7"/>
  <c r="O6" i="7"/>
  <c r="S165" i="7"/>
  <c r="O165" i="7"/>
  <c r="S43" i="7"/>
  <c r="O43" i="7"/>
  <c r="S98" i="7"/>
  <c r="O98" i="7"/>
  <c r="S10" i="7"/>
  <c r="O10" i="7"/>
  <c r="S116" i="7"/>
  <c r="O116" i="7"/>
  <c r="S99" i="7"/>
  <c r="O99" i="7"/>
  <c r="S177" i="7"/>
  <c r="O177" i="7"/>
  <c r="S178" i="7"/>
  <c r="O178" i="7"/>
  <c r="S179" i="7"/>
  <c r="O179" i="7"/>
  <c r="S180" i="7"/>
  <c r="O180" i="7"/>
  <c r="S183" i="7"/>
  <c r="O183" i="7"/>
  <c r="S129" i="7"/>
  <c r="O129" i="7"/>
  <c r="S87" i="7"/>
  <c r="O87" i="7"/>
  <c r="S30" i="7"/>
  <c r="O30" i="7"/>
  <c r="S184" i="7"/>
  <c r="O184" i="7"/>
  <c r="S102" i="7"/>
  <c r="O102" i="7"/>
  <c r="S32" i="7"/>
  <c r="O32" i="7"/>
  <c r="S33" i="7"/>
  <c r="O33" i="7"/>
  <c r="S146" i="7"/>
  <c r="O146" i="7"/>
  <c r="S36" i="7"/>
  <c r="O36" i="7"/>
  <c r="S150" i="7"/>
  <c r="O150" i="7"/>
  <c r="S51" i="7"/>
  <c r="O51" i="7"/>
  <c r="S120" i="7"/>
  <c r="O120" i="7"/>
  <c r="S39" i="7"/>
  <c r="O39" i="7"/>
  <c r="S89" i="7"/>
  <c r="O89" i="7"/>
  <c r="S55" i="7"/>
  <c r="O55" i="7"/>
  <c r="S156" i="7"/>
  <c r="O156" i="7"/>
  <c r="S42" i="7"/>
  <c r="O42" i="7"/>
  <c r="S59" i="7"/>
  <c r="O59" i="7"/>
  <c r="S189" i="7"/>
  <c r="O189" i="7"/>
  <c r="S93" i="7"/>
  <c r="O93" i="7"/>
  <c r="S135" i="7"/>
  <c r="O135" i="7"/>
  <c r="T161" i="7"/>
  <c r="P161" i="7"/>
  <c r="T77" i="7"/>
  <c r="P77" i="7"/>
  <c r="T79" i="7"/>
  <c r="P79" i="7"/>
  <c r="T115" i="7"/>
  <c r="P115" i="7"/>
  <c r="T173" i="7"/>
  <c r="P173" i="7"/>
  <c r="T6" i="7"/>
  <c r="P6" i="7"/>
  <c r="T165" i="7"/>
  <c r="P165" i="7"/>
  <c r="T43" i="7"/>
  <c r="P43" i="7"/>
  <c r="T98" i="7"/>
  <c r="P98" i="7"/>
  <c r="T10" i="7"/>
  <c r="P10" i="7"/>
  <c r="T116" i="7"/>
  <c r="P116" i="7"/>
  <c r="T99" i="7"/>
  <c r="P99" i="7"/>
  <c r="T177" i="7"/>
  <c r="P177" i="7"/>
  <c r="T178" i="7"/>
  <c r="P178" i="7"/>
  <c r="T179" i="7"/>
  <c r="P179" i="7"/>
  <c r="T180" i="7"/>
  <c r="P180" i="7"/>
  <c r="T183" i="7"/>
  <c r="P183" i="7"/>
  <c r="T129" i="7"/>
  <c r="P129" i="7"/>
  <c r="T87" i="7"/>
  <c r="P87" i="7"/>
  <c r="T30" i="7"/>
  <c r="P30" i="7"/>
  <c r="T184" i="7"/>
  <c r="P184" i="7"/>
  <c r="T102" i="7"/>
  <c r="P102" i="7"/>
  <c r="T32" i="7"/>
  <c r="P32" i="7"/>
  <c r="T33" i="7"/>
  <c r="P33" i="7"/>
  <c r="T146" i="7"/>
  <c r="P146" i="7"/>
  <c r="T36" i="7"/>
  <c r="P36" i="7"/>
  <c r="T150" i="7"/>
  <c r="P150" i="7"/>
  <c r="T51" i="7"/>
  <c r="P51" i="7"/>
  <c r="T120" i="7"/>
  <c r="P120" i="7"/>
  <c r="T39" i="7"/>
  <c r="P39" i="7"/>
  <c r="T89" i="7"/>
  <c r="P89" i="7"/>
  <c r="T55" i="7"/>
  <c r="P55" i="7"/>
  <c r="T156" i="7"/>
  <c r="P156" i="7"/>
  <c r="S162" i="7"/>
  <c r="O162" i="7"/>
  <c r="S3" i="7"/>
  <c r="O3" i="7"/>
  <c r="S164" i="7"/>
  <c r="O164" i="7"/>
  <c r="S163" i="7"/>
  <c r="O163" i="7"/>
  <c r="S104" i="7"/>
  <c r="O104" i="7"/>
  <c r="S7" i="7"/>
  <c r="O7" i="7"/>
  <c r="S174" i="7"/>
  <c r="O174" i="7"/>
  <c r="S25" i="7"/>
  <c r="O25" i="7"/>
  <c r="S142" i="7"/>
  <c r="O142" i="7"/>
  <c r="S45" i="7"/>
  <c r="O45" i="7"/>
  <c r="S63" i="7"/>
  <c r="O63" i="7"/>
  <c r="S82" i="7"/>
  <c r="O82" i="7"/>
  <c r="S170" i="7"/>
  <c r="O170" i="7"/>
  <c r="S181" i="7"/>
  <c r="O181" i="7"/>
  <c r="S85" i="7"/>
  <c r="O85" i="7"/>
  <c r="S137" i="7"/>
  <c r="O137" i="7"/>
  <c r="S27" i="7"/>
  <c r="O27" i="7"/>
  <c r="S143" i="7"/>
  <c r="O143" i="7"/>
  <c r="S185" i="7"/>
  <c r="O185" i="7"/>
  <c r="S46" i="7"/>
  <c r="O46" i="7"/>
  <c r="S34" i="7"/>
  <c r="O34" i="7"/>
  <c r="S73" i="7"/>
  <c r="O73" i="7"/>
  <c r="S49" i="7"/>
  <c r="O49" i="7"/>
  <c r="S147" i="7"/>
  <c r="O147" i="7"/>
  <c r="S151" i="7"/>
  <c r="O151" i="7"/>
  <c r="S52" i="7"/>
  <c r="O52" i="7"/>
  <c r="S121" i="7"/>
  <c r="O121" i="7"/>
  <c r="S40" i="7"/>
  <c r="O40" i="7"/>
  <c r="S90" i="7"/>
  <c r="O90" i="7"/>
  <c r="S153" i="7"/>
  <c r="O153" i="7"/>
  <c r="S75" i="7"/>
  <c r="O75" i="7"/>
  <c r="S56" i="7"/>
  <c r="O56" i="7"/>
  <c r="S124" i="7"/>
  <c r="O124" i="7"/>
  <c r="S91" i="7"/>
  <c r="O91" i="7"/>
  <c r="S157" i="7"/>
  <c r="O157" i="7"/>
  <c r="S134" i="7"/>
  <c r="O134" i="7"/>
  <c r="T162" i="7"/>
  <c r="P162" i="7"/>
  <c r="T3" i="7"/>
  <c r="P3" i="7"/>
  <c r="T164" i="7"/>
  <c r="P164" i="7"/>
  <c r="T163" i="7"/>
  <c r="P163" i="7"/>
  <c r="T104" i="7"/>
  <c r="P104" i="7"/>
  <c r="T7" i="7"/>
  <c r="P7" i="7"/>
  <c r="T174" i="7"/>
  <c r="P174" i="7"/>
  <c r="T25" i="7"/>
  <c r="P25" i="7"/>
  <c r="T142" i="7"/>
  <c r="P142" i="7"/>
  <c r="T45" i="7"/>
  <c r="P45" i="7"/>
  <c r="T63" i="7"/>
  <c r="P63" i="7"/>
  <c r="T82" i="7"/>
  <c r="P82" i="7"/>
  <c r="T170" i="7"/>
  <c r="P170" i="7"/>
  <c r="T181" i="7"/>
  <c r="P181" i="7"/>
  <c r="T85" i="7"/>
  <c r="P85" i="7"/>
  <c r="T137" i="7"/>
  <c r="P137" i="7"/>
  <c r="T27" i="7"/>
  <c r="P27" i="7"/>
  <c r="T143" i="7"/>
  <c r="P143" i="7"/>
  <c r="T185" i="7"/>
  <c r="P185" i="7"/>
  <c r="T46" i="7"/>
  <c r="P46" i="7"/>
  <c r="T34" i="7"/>
  <c r="P34" i="7"/>
  <c r="T73" i="7"/>
  <c r="P73" i="7"/>
  <c r="T49" i="7"/>
  <c r="P49" i="7"/>
  <c r="T147" i="7"/>
  <c r="P147" i="7"/>
  <c r="T151" i="7"/>
  <c r="P151" i="7"/>
  <c r="T52" i="7"/>
  <c r="P52" i="7"/>
  <c r="T121" i="7"/>
  <c r="P121" i="7"/>
  <c r="S112" i="7"/>
  <c r="O112" i="7"/>
  <c r="S62" i="7"/>
  <c r="O62" i="7"/>
  <c r="S78" i="7"/>
  <c r="O78" i="7"/>
  <c r="S4" i="7"/>
  <c r="O4" i="7"/>
  <c r="S94" i="7"/>
  <c r="O94" i="7"/>
  <c r="S8" i="7"/>
  <c r="O8" i="7"/>
  <c r="S133" i="7"/>
  <c r="O133" i="7"/>
  <c r="S141" i="7"/>
  <c r="O141" i="7"/>
  <c r="S44" i="7"/>
  <c r="O44" i="7"/>
  <c r="S105" i="7"/>
  <c r="O105" i="7"/>
  <c r="S175" i="7"/>
  <c r="O175" i="7"/>
  <c r="S100" i="7"/>
  <c r="O100" i="7"/>
  <c r="S83" i="7"/>
  <c r="O83" i="7"/>
  <c r="S171" i="7"/>
  <c r="O171" i="7"/>
  <c r="S182" i="7"/>
  <c r="O182" i="7"/>
  <c r="S86" i="7"/>
  <c r="O86" i="7"/>
  <c r="S81" i="7"/>
  <c r="O81" i="7"/>
  <c r="S28" i="7"/>
  <c r="O28" i="7"/>
  <c r="S144" i="7"/>
  <c r="O144" i="7"/>
  <c r="S186" i="7"/>
  <c r="O186" i="7"/>
  <c r="S47" i="7"/>
  <c r="O47" i="7"/>
  <c r="S117" i="7"/>
  <c r="O117" i="7"/>
  <c r="S35" i="7"/>
  <c r="O35" i="7"/>
  <c r="S187" i="7"/>
  <c r="O187" i="7"/>
  <c r="S37" i="7"/>
  <c r="O37" i="7"/>
  <c r="S148" i="7"/>
  <c r="O148" i="7"/>
  <c r="S74" i="7"/>
  <c r="O74" i="7"/>
  <c r="S53" i="7"/>
  <c r="O53" i="7"/>
  <c r="S122" i="7"/>
  <c r="O122" i="7"/>
  <c r="S139" i="7"/>
  <c r="O139" i="7"/>
  <c r="S152" i="7"/>
  <c r="O152" i="7"/>
  <c r="S154" i="7"/>
  <c r="O154" i="7"/>
  <c r="S188" i="7"/>
  <c r="O188" i="7"/>
  <c r="S57" i="7"/>
  <c r="O57" i="7"/>
  <c r="S125" i="7"/>
  <c r="O125" i="7"/>
  <c r="S92" i="7"/>
  <c r="O92" i="7"/>
  <c r="S60" i="7"/>
  <c r="O60" i="7"/>
  <c r="S136" i="7"/>
  <c r="O136" i="7"/>
  <c r="T112" i="7"/>
  <c r="P112" i="7"/>
  <c r="T62" i="7"/>
  <c r="P62" i="7"/>
  <c r="T78" i="7"/>
  <c r="P78" i="7"/>
  <c r="T4" i="7"/>
  <c r="P4" i="7"/>
  <c r="T94" i="7"/>
  <c r="P94" i="7"/>
  <c r="T8" i="7"/>
  <c r="P8" i="7"/>
  <c r="T133" i="7"/>
  <c r="P133" i="7"/>
  <c r="T141" i="7"/>
  <c r="P141" i="7"/>
  <c r="T44" i="7"/>
  <c r="P44" i="7"/>
  <c r="T105" i="7"/>
  <c r="P105" i="7"/>
  <c r="T175" i="7"/>
  <c r="P175" i="7"/>
  <c r="T100" i="7"/>
  <c r="P100" i="7"/>
  <c r="T83" i="7"/>
  <c r="P83" i="7"/>
  <c r="T171" i="7"/>
  <c r="P171" i="7"/>
  <c r="T182" i="7"/>
  <c r="P182" i="7"/>
  <c r="T86" i="7"/>
  <c r="P86" i="7"/>
  <c r="T81" i="7"/>
  <c r="P81" i="7"/>
  <c r="T28" i="7"/>
  <c r="P28" i="7"/>
  <c r="T144" i="7"/>
  <c r="P144" i="7"/>
  <c r="T186" i="7"/>
  <c r="P186" i="7"/>
  <c r="T47" i="7"/>
  <c r="P47" i="7"/>
  <c r="T117" i="7"/>
  <c r="P117" i="7"/>
  <c r="T35" i="7"/>
  <c r="P35" i="7"/>
  <c r="T187" i="7"/>
  <c r="P187" i="7"/>
  <c r="T37" i="7"/>
  <c r="P37" i="7"/>
  <c r="T148" i="7"/>
  <c r="P148" i="7"/>
  <c r="T74" i="7"/>
  <c r="P74" i="7"/>
  <c r="T53" i="7"/>
  <c r="P53" i="7"/>
  <c r="T54" i="7"/>
  <c r="P54" i="7"/>
  <c r="T139" i="7"/>
  <c r="P139" i="7"/>
  <c r="T41" i="7"/>
  <c r="P41" i="7"/>
  <c r="T75" i="7"/>
  <c r="P75" i="7"/>
  <c r="T56" i="7"/>
  <c r="P56" i="7"/>
  <c r="T124" i="7"/>
  <c r="P124" i="7"/>
  <c r="T91" i="7"/>
  <c r="P91" i="7"/>
  <c r="T157" i="7"/>
  <c r="P157" i="7"/>
  <c r="T134" i="7"/>
  <c r="P134" i="7"/>
  <c r="U162" i="7"/>
  <c r="Q162" i="7"/>
  <c r="U3" i="7"/>
  <c r="Q3" i="7"/>
  <c r="U164" i="7"/>
  <c r="Q164" i="7"/>
  <c r="U163" i="7"/>
  <c r="Q163" i="7"/>
  <c r="U104" i="7"/>
  <c r="Q104" i="7"/>
  <c r="U7" i="7"/>
  <c r="Q7" i="7"/>
  <c r="U174" i="7"/>
  <c r="Q174" i="7"/>
  <c r="U25" i="7"/>
  <c r="Q25" i="7"/>
  <c r="U142" i="7"/>
  <c r="Q142" i="7"/>
  <c r="U45" i="7"/>
  <c r="Q45" i="7"/>
  <c r="U63" i="7"/>
  <c r="U82" i="7"/>
  <c r="Q82" i="7"/>
  <c r="U170" i="7"/>
  <c r="Q170" i="7"/>
  <c r="U181" i="7"/>
  <c r="Q181" i="7"/>
  <c r="U85" i="7"/>
  <c r="U137" i="7"/>
  <c r="Q137" i="7"/>
  <c r="U27" i="7"/>
  <c r="U143" i="7"/>
  <c r="U185" i="7"/>
  <c r="Q185" i="7"/>
  <c r="U46" i="7"/>
  <c r="Q46" i="7"/>
  <c r="U34" i="7"/>
  <c r="U73" i="7"/>
  <c r="Q73" i="7"/>
  <c r="U49" i="7"/>
  <c r="Q49" i="7"/>
  <c r="U147" i="7"/>
  <c r="Q147" i="7"/>
  <c r="U151" i="7"/>
  <c r="U52" i="7"/>
  <c r="U121" i="7"/>
  <c r="Q121" i="7"/>
  <c r="U40" i="7"/>
  <c r="Q40" i="7"/>
  <c r="U90" i="7"/>
  <c r="Q90" i="7"/>
  <c r="U153" i="7"/>
  <c r="Q153" i="7"/>
  <c r="U75" i="7"/>
  <c r="Q75" i="7"/>
  <c r="U56" i="7"/>
  <c r="Q56" i="7"/>
  <c r="U124" i="7"/>
  <c r="Q124" i="7"/>
  <c r="U157" i="7"/>
  <c r="Q157" i="7"/>
  <c r="T119" i="7"/>
  <c r="P119" i="7"/>
  <c r="T122" i="7"/>
  <c r="P122" i="7"/>
  <c r="T88" i="7"/>
  <c r="P88" i="7"/>
  <c r="T153" i="7"/>
  <c r="P153" i="7"/>
  <c r="T188" i="7"/>
  <c r="P188" i="7"/>
  <c r="T57" i="7"/>
  <c r="P57" i="7"/>
  <c r="T125" i="7"/>
  <c r="P125" i="7"/>
  <c r="T92" i="7"/>
  <c r="P92" i="7"/>
  <c r="T60" i="7"/>
  <c r="P60" i="7"/>
  <c r="T136" i="7"/>
  <c r="P136" i="7"/>
  <c r="U112" i="7"/>
  <c r="Q112" i="7"/>
  <c r="U62" i="7"/>
  <c r="Q62" i="7"/>
  <c r="U78" i="7"/>
  <c r="Q78" i="7"/>
  <c r="U4" i="7"/>
  <c r="Q4" i="7"/>
  <c r="U94" i="7"/>
  <c r="Q94" i="7"/>
  <c r="U8" i="7"/>
  <c r="Q8" i="7"/>
  <c r="U133" i="7"/>
  <c r="Q133" i="7"/>
  <c r="U141" i="7"/>
  <c r="Q141" i="7"/>
  <c r="U44" i="7"/>
  <c r="Q44" i="7"/>
  <c r="U105" i="7"/>
  <c r="Q105" i="7"/>
  <c r="U175" i="7"/>
  <c r="Q175" i="7"/>
  <c r="U100" i="7"/>
  <c r="Q100" i="7"/>
  <c r="U83" i="7"/>
  <c r="Q83" i="7"/>
  <c r="U171" i="7"/>
  <c r="Q171" i="7"/>
  <c r="U182" i="7"/>
  <c r="Q182" i="7"/>
  <c r="U86" i="7"/>
  <c r="Q86" i="7"/>
  <c r="U81" i="7"/>
  <c r="Q81" i="7"/>
  <c r="U28" i="7"/>
  <c r="Q28" i="7"/>
  <c r="U144" i="7"/>
  <c r="Q144" i="7"/>
  <c r="U186" i="7"/>
  <c r="Q186" i="7"/>
  <c r="U47" i="7"/>
  <c r="Q47" i="7"/>
  <c r="U117" i="7"/>
  <c r="Q117" i="7"/>
  <c r="U35" i="7"/>
  <c r="Q35" i="7"/>
  <c r="U187" i="7"/>
  <c r="Q187" i="7"/>
  <c r="U37" i="7"/>
  <c r="Q37" i="7"/>
  <c r="U148" i="7"/>
  <c r="Q148" i="7"/>
  <c r="U74" i="7"/>
  <c r="Q74" i="7"/>
  <c r="U53" i="7"/>
  <c r="Q53" i="7"/>
  <c r="U122" i="7"/>
  <c r="Q122" i="7"/>
  <c r="U139" i="7"/>
  <c r="Q139" i="7"/>
  <c r="U152" i="7"/>
  <c r="Q152" i="7"/>
  <c r="U154" i="7"/>
  <c r="Q154" i="7"/>
  <c r="U188" i="7"/>
  <c r="Q188" i="7"/>
  <c r="U57" i="7"/>
  <c r="Q57" i="7"/>
  <c r="U125" i="7"/>
  <c r="Q125" i="7"/>
  <c r="U92" i="7"/>
  <c r="Q92" i="7"/>
  <c r="U60" i="7"/>
  <c r="Q60" i="7"/>
  <c r="U136" i="7"/>
  <c r="Q136" i="7"/>
  <c r="S11" i="7"/>
  <c r="O11" i="7"/>
  <c r="T11" i="7"/>
  <c r="P11" i="7"/>
  <c r="T149" i="7"/>
  <c r="P149" i="7"/>
  <c r="T38" i="7"/>
  <c r="P38" i="7"/>
  <c r="T90" i="7"/>
  <c r="P90" i="7"/>
  <c r="T154" i="7"/>
  <c r="P154" i="7"/>
  <c r="T123" i="7"/>
  <c r="P123" i="7"/>
  <c r="T58" i="7"/>
  <c r="P58" i="7"/>
  <c r="T126" i="7"/>
  <c r="P126" i="7"/>
  <c r="T127" i="7"/>
  <c r="P127" i="7"/>
  <c r="U160" i="7"/>
  <c r="Q160" i="7"/>
  <c r="U113" i="7"/>
  <c r="Q113" i="7"/>
  <c r="U206" i="7"/>
  <c r="Q206" i="7"/>
  <c r="U114" i="7"/>
  <c r="Q114" i="7"/>
  <c r="U5" i="7"/>
  <c r="Q5" i="7"/>
  <c r="U95" i="7"/>
  <c r="Q95" i="7"/>
  <c r="U80" i="7"/>
  <c r="Q80" i="7"/>
  <c r="U140" i="7"/>
  <c r="Q140" i="7"/>
  <c r="U96" i="7"/>
  <c r="Q96" i="7"/>
  <c r="U97" i="7"/>
  <c r="Q97" i="7"/>
  <c r="U9" i="7"/>
  <c r="Q9" i="7"/>
  <c r="U176" i="7"/>
  <c r="Q176" i="7"/>
  <c r="U101" i="7"/>
  <c r="Q101" i="7"/>
  <c r="U26" i="7"/>
  <c r="Q26" i="7"/>
  <c r="U106" i="7"/>
  <c r="Q106" i="7"/>
  <c r="U84" i="7"/>
  <c r="Q84" i="7"/>
  <c r="U172" i="7"/>
  <c r="Q172" i="7"/>
  <c r="U166" i="7"/>
  <c r="Q166" i="7"/>
  <c r="U29" i="7"/>
  <c r="Q29" i="7"/>
  <c r="U145" i="7"/>
  <c r="Q145" i="7"/>
  <c r="U31" i="7"/>
  <c r="Q31" i="7"/>
  <c r="U48" i="7"/>
  <c r="Q48" i="7"/>
  <c r="U118" i="7"/>
  <c r="Q118" i="7"/>
  <c r="U130" i="7"/>
  <c r="Q130" i="7"/>
  <c r="U138" i="7"/>
  <c r="Q138" i="7"/>
  <c r="U119" i="7"/>
  <c r="Q119" i="7"/>
  <c r="U149" i="7"/>
  <c r="Q149" i="7"/>
  <c r="U50" i="7"/>
  <c r="Q50" i="7"/>
  <c r="U54" i="7"/>
  <c r="Q54" i="7"/>
  <c r="U38" i="7"/>
  <c r="Q38" i="7"/>
  <c r="U88" i="7"/>
  <c r="Q88" i="7"/>
  <c r="U41" i="7"/>
  <c r="Q41" i="7"/>
  <c r="U155" i="7"/>
  <c r="Q155" i="7"/>
  <c r="U123" i="7"/>
  <c r="Q123" i="7"/>
  <c r="U58" i="7"/>
  <c r="Q58" i="7"/>
  <c r="U126" i="7"/>
  <c r="Q126" i="7"/>
  <c r="U127" i="7"/>
  <c r="Q127" i="7"/>
  <c r="T50" i="7"/>
  <c r="P50" i="7"/>
  <c r="T40" i="7"/>
  <c r="P40" i="7"/>
  <c r="T152" i="7"/>
  <c r="P152" i="7"/>
  <c r="T155" i="7"/>
  <c r="P155" i="7"/>
  <c r="T42" i="7"/>
  <c r="P42" i="7"/>
  <c r="T59" i="7"/>
  <c r="P59" i="7"/>
  <c r="T189" i="7"/>
  <c r="P189" i="7"/>
  <c r="T93" i="7"/>
  <c r="P93" i="7"/>
  <c r="T135" i="7"/>
  <c r="P135" i="7"/>
  <c r="U161" i="7"/>
  <c r="U77" i="7"/>
  <c r="Q77" i="7"/>
  <c r="U79" i="7"/>
  <c r="U115" i="7"/>
  <c r="Q115" i="7"/>
  <c r="U173" i="7"/>
  <c r="Q173" i="7"/>
  <c r="U6" i="7"/>
  <c r="Q6" i="7"/>
  <c r="U165" i="7"/>
  <c r="U43" i="7"/>
  <c r="Q43" i="7"/>
  <c r="U98" i="7"/>
  <c r="Q98" i="7"/>
  <c r="U10" i="7"/>
  <c r="Q10" i="7"/>
  <c r="U116" i="7"/>
  <c r="U99" i="7"/>
  <c r="Q99" i="7"/>
  <c r="U177" i="7"/>
  <c r="U178" i="7"/>
  <c r="Q178" i="7"/>
  <c r="U179" i="7"/>
  <c r="U180" i="7"/>
  <c r="Q180" i="7"/>
  <c r="U183" i="7"/>
  <c r="U129" i="7"/>
  <c r="Q129" i="7"/>
  <c r="U87" i="7"/>
  <c r="U30" i="7"/>
  <c r="Q30" i="7"/>
  <c r="U184" i="7"/>
  <c r="U102" i="7"/>
  <c r="Q102" i="7"/>
  <c r="U32" i="7"/>
  <c r="U33" i="7"/>
  <c r="Q33" i="7"/>
  <c r="U146" i="7"/>
  <c r="Q146" i="7"/>
  <c r="U36" i="7"/>
  <c r="Q36" i="7"/>
  <c r="U150" i="7"/>
  <c r="Q150" i="7"/>
  <c r="U51" i="7"/>
  <c r="Q51" i="7"/>
  <c r="U120" i="7"/>
  <c r="Q120" i="7"/>
  <c r="U39" i="7"/>
  <c r="Q39" i="7"/>
  <c r="U89" i="7"/>
  <c r="Q89" i="7"/>
  <c r="U55" i="7"/>
  <c r="Q55" i="7"/>
  <c r="U156" i="7"/>
  <c r="Q156" i="7"/>
  <c r="U42" i="7"/>
  <c r="Q42" i="7"/>
  <c r="U59" i="7"/>
  <c r="Q59" i="7"/>
  <c r="U189" i="7"/>
  <c r="Q189" i="7"/>
  <c r="U93" i="7"/>
  <c r="Q93" i="7"/>
  <c r="U135" i="7"/>
  <c r="Q135" i="7"/>
  <c r="U11" i="7"/>
  <c r="Q11" i="7"/>
  <c r="U91" i="7"/>
  <c r="Q91" i="7"/>
  <c r="U134" i="7"/>
  <c r="Q134" i="7"/>
  <c r="S110" i="7"/>
  <c r="O110" i="7"/>
  <c r="S191" i="7"/>
  <c r="O191" i="7"/>
  <c r="S16" i="7"/>
  <c r="O16" i="7"/>
  <c r="T128" i="7"/>
  <c r="P128" i="7"/>
  <c r="T72" i="7"/>
  <c r="P72" i="7"/>
  <c r="T107" i="7"/>
  <c r="P107" i="7"/>
  <c r="T12" i="7"/>
  <c r="P12" i="7"/>
  <c r="U103" i="7"/>
  <c r="Q103" i="7"/>
  <c r="U108" i="7"/>
  <c r="Q108" i="7"/>
  <c r="U15" i="7"/>
  <c r="Q15" i="7"/>
  <c r="S109" i="7"/>
  <c r="O109" i="7"/>
  <c r="S131" i="7"/>
  <c r="O131" i="7"/>
  <c r="S64" i="7"/>
  <c r="O64" i="7"/>
  <c r="T61" i="7"/>
  <c r="P61" i="7"/>
  <c r="T76" i="7"/>
  <c r="P76" i="7"/>
  <c r="T71" i="7"/>
  <c r="P71" i="7"/>
  <c r="U159" i="7"/>
  <c r="Q159" i="7"/>
  <c r="U2" i="7"/>
  <c r="Q2" i="7"/>
  <c r="U168" i="7"/>
  <c r="Q168" i="7"/>
  <c r="U14" i="7"/>
  <c r="Q14" i="7"/>
  <c r="S103" i="7"/>
  <c r="O103" i="7"/>
  <c r="S108" i="7"/>
  <c r="O108" i="7"/>
  <c r="S15" i="7"/>
  <c r="O15" i="7"/>
  <c r="T111" i="7"/>
  <c r="P111" i="7"/>
  <c r="T158" i="7"/>
  <c r="P158" i="7"/>
  <c r="T167" i="7"/>
  <c r="P167" i="7"/>
  <c r="U132" i="7"/>
  <c r="Q132" i="7"/>
  <c r="U169" i="7"/>
  <c r="Q169" i="7"/>
  <c r="U190" i="7"/>
  <c r="Q190" i="7"/>
  <c r="U13" i="7"/>
  <c r="Q13" i="7"/>
  <c r="S159" i="7"/>
  <c r="O159" i="7"/>
  <c r="S2" i="7"/>
  <c r="O2" i="7"/>
  <c r="S168" i="7"/>
  <c r="O168" i="7"/>
  <c r="S14" i="7"/>
  <c r="O14" i="7"/>
  <c r="T110" i="7"/>
  <c r="P110" i="7"/>
  <c r="T191" i="7"/>
  <c r="P191" i="7"/>
  <c r="T16" i="7"/>
  <c r="P16" i="7"/>
  <c r="U128" i="7"/>
  <c r="Q128" i="7"/>
  <c r="U72" i="7"/>
  <c r="Q72" i="7"/>
  <c r="U107" i="7"/>
  <c r="Q107" i="7"/>
  <c r="U12" i="7"/>
  <c r="Q12" i="7"/>
  <c r="S132" i="7"/>
  <c r="O132" i="7"/>
  <c r="S169" i="7"/>
  <c r="O169" i="7"/>
  <c r="S190" i="7"/>
  <c r="O190" i="7"/>
  <c r="S13" i="7"/>
  <c r="O13" i="7"/>
  <c r="T109" i="7"/>
  <c r="P109" i="7"/>
  <c r="T131" i="7"/>
  <c r="P131" i="7"/>
  <c r="T64" i="7"/>
  <c r="P64" i="7"/>
  <c r="U61" i="7"/>
  <c r="Q61" i="7"/>
  <c r="U76" i="7"/>
  <c r="Q76" i="7"/>
  <c r="U71" i="7"/>
  <c r="Q71" i="7"/>
  <c r="S128" i="7"/>
  <c r="O128" i="7"/>
  <c r="S72" i="7"/>
  <c r="O72" i="7"/>
  <c r="S107" i="7"/>
  <c r="O107" i="7"/>
  <c r="S12" i="7"/>
  <c r="O12" i="7"/>
  <c r="T103" i="7"/>
  <c r="P103" i="7"/>
  <c r="T108" i="7"/>
  <c r="P108" i="7"/>
  <c r="T15" i="7"/>
  <c r="P15" i="7"/>
  <c r="U111" i="7"/>
  <c r="Q111" i="7"/>
  <c r="U158" i="7"/>
  <c r="Q158" i="7"/>
  <c r="S61" i="7"/>
  <c r="O61" i="7"/>
  <c r="S76" i="7"/>
  <c r="O76" i="7"/>
  <c r="S71" i="7"/>
  <c r="O71" i="7"/>
  <c r="T159" i="7"/>
  <c r="P159" i="7"/>
  <c r="T2" i="7"/>
  <c r="P2" i="7"/>
  <c r="T168" i="7"/>
  <c r="P168" i="7"/>
  <c r="T14" i="7"/>
  <c r="P14" i="7"/>
  <c r="U110" i="7"/>
  <c r="Q110" i="7"/>
  <c r="U191" i="7"/>
  <c r="Q191" i="7"/>
  <c r="U16" i="7"/>
  <c r="Q16" i="7"/>
  <c r="S111" i="7"/>
  <c r="O111" i="7"/>
  <c r="S158" i="7"/>
  <c r="O158" i="7"/>
  <c r="S167" i="7"/>
  <c r="O167" i="7"/>
  <c r="T132" i="7"/>
  <c r="P132" i="7"/>
  <c r="T169" i="7"/>
  <c r="P169" i="7"/>
  <c r="T190" i="7"/>
  <c r="P190" i="7"/>
  <c r="T13" i="7"/>
  <c r="P13" i="7"/>
  <c r="U109" i="7"/>
  <c r="Q109" i="7"/>
  <c r="U131" i="7"/>
  <c r="Q131" i="7"/>
  <c r="U64" i="7"/>
  <c r="Q64" i="7"/>
  <c r="V32" i="7"/>
  <c r="Q32" i="7"/>
  <c r="V87" i="7"/>
  <c r="Q87" i="7"/>
  <c r="V179" i="7"/>
  <c r="Q179" i="7"/>
  <c r="V116" i="7"/>
  <c r="Q116" i="7"/>
  <c r="V165" i="7"/>
  <c r="Q165" i="7"/>
  <c r="V79" i="7"/>
  <c r="Q79" i="7"/>
  <c r="V151" i="7"/>
  <c r="Q151" i="7"/>
  <c r="V34" i="7"/>
  <c r="Q34" i="7"/>
  <c r="V27" i="7"/>
  <c r="Q27" i="7"/>
  <c r="V184" i="7"/>
  <c r="Q184" i="7"/>
  <c r="V183" i="7"/>
  <c r="Q183" i="7"/>
  <c r="V177" i="7"/>
  <c r="Q177" i="7"/>
  <c r="V161" i="7"/>
  <c r="Q161" i="7"/>
  <c r="V85" i="7"/>
  <c r="Q85" i="7"/>
  <c r="V63" i="7"/>
  <c r="Q63" i="7"/>
  <c r="V52" i="7"/>
  <c r="Q52" i="7"/>
  <c r="V143" i="7"/>
  <c r="Q143" i="7"/>
  <c r="V185" i="7"/>
  <c r="V181" i="7"/>
  <c r="V173" i="7"/>
  <c r="V170" i="7"/>
  <c r="V36" i="7"/>
  <c r="V102" i="7"/>
  <c r="V129" i="7"/>
  <c r="V178" i="7"/>
  <c r="V10" i="7"/>
  <c r="V6" i="7"/>
  <c r="V77" i="7"/>
  <c r="V56" i="7"/>
  <c r="V167" i="7"/>
  <c r="V191" i="7"/>
  <c r="V33" i="7"/>
  <c r="V30" i="7"/>
  <c r="V180" i="7"/>
  <c r="V99" i="7"/>
  <c r="V115" i="7"/>
  <c r="V146" i="7"/>
  <c r="V147" i="7"/>
  <c r="V134" i="7"/>
  <c r="V159" i="7"/>
  <c r="V98" i="7"/>
  <c r="V91" i="7"/>
  <c r="V61" i="7"/>
  <c r="V136" i="7"/>
  <c r="V57" i="7"/>
  <c r="V75" i="7"/>
  <c r="V124" i="7"/>
  <c r="V12" i="7"/>
  <c r="V157" i="7"/>
  <c r="V188" i="7"/>
  <c r="V103" i="7"/>
  <c r="V60" i="7"/>
  <c r="V122" i="7"/>
  <c r="V37" i="7"/>
  <c r="V121" i="7"/>
  <c r="V46" i="7"/>
  <c r="V164" i="7"/>
  <c r="V92" i="7"/>
  <c r="V154" i="7"/>
  <c r="V53" i="7"/>
  <c r="V187" i="7"/>
  <c r="V186" i="7"/>
  <c r="V86" i="7"/>
  <c r="V100" i="7"/>
  <c r="V44" i="7"/>
  <c r="V62" i="7"/>
  <c r="V73" i="7"/>
  <c r="V25" i="7"/>
  <c r="V3" i="7"/>
  <c r="V93" i="7"/>
  <c r="V156" i="7"/>
  <c r="V120" i="7"/>
  <c r="V155" i="7"/>
  <c r="V54" i="7"/>
  <c r="V138" i="7"/>
  <c r="V31" i="7"/>
  <c r="V172" i="7"/>
  <c r="V101" i="7"/>
  <c r="V9" i="7"/>
  <c r="V80" i="7"/>
  <c r="V206" i="7"/>
  <c r="V153" i="7"/>
  <c r="V125" i="7"/>
  <c r="V152" i="7"/>
  <c r="V74" i="7"/>
  <c r="V35" i="7"/>
  <c r="V144" i="7"/>
  <c r="V182" i="7"/>
  <c r="V175" i="7"/>
  <c r="V141" i="7"/>
  <c r="V94" i="7"/>
  <c r="V112" i="7"/>
  <c r="V45" i="7"/>
  <c r="V174" i="7"/>
  <c r="V104" i="7"/>
  <c r="V162" i="7"/>
  <c r="V189" i="7"/>
  <c r="V55" i="7"/>
  <c r="V51" i="7"/>
  <c r="V126" i="7"/>
  <c r="V41" i="7"/>
  <c r="V50" i="7"/>
  <c r="V130" i="7"/>
  <c r="V145" i="7"/>
  <c r="V84" i="7"/>
  <c r="V176" i="7"/>
  <c r="V97" i="7"/>
  <c r="V95" i="7"/>
  <c r="V113" i="7"/>
  <c r="V11" i="7"/>
  <c r="V90" i="7"/>
  <c r="V139" i="7"/>
  <c r="V148" i="7"/>
  <c r="V117" i="7"/>
  <c r="V28" i="7"/>
  <c r="V171" i="7"/>
  <c r="V105" i="7"/>
  <c r="V133" i="7"/>
  <c r="V4" i="7"/>
  <c r="V40" i="7"/>
  <c r="V142" i="7"/>
  <c r="V163" i="7"/>
  <c r="V59" i="7"/>
  <c r="V89" i="7"/>
  <c r="V150" i="7"/>
  <c r="V43" i="7"/>
  <c r="V58" i="7"/>
  <c r="V88" i="7"/>
  <c r="V149" i="7"/>
  <c r="V118" i="7"/>
  <c r="V29" i="7"/>
  <c r="V106" i="7"/>
  <c r="V96" i="7"/>
  <c r="V5" i="7"/>
  <c r="V160" i="7"/>
  <c r="V47" i="7"/>
  <c r="V81" i="7"/>
  <c r="V83" i="7"/>
  <c r="V8" i="7"/>
  <c r="V78" i="7"/>
  <c r="V49" i="7"/>
  <c r="V137" i="7"/>
  <c r="V82" i="7"/>
  <c r="V7" i="7"/>
  <c r="V135" i="7"/>
  <c r="V42" i="7"/>
  <c r="V39" i="7"/>
  <c r="V127" i="7"/>
  <c r="V123" i="7"/>
  <c r="V38" i="7"/>
  <c r="V119" i="7"/>
  <c r="V48" i="7"/>
  <c r="V166" i="7"/>
  <c r="V26" i="7"/>
  <c r="V140" i="7"/>
  <c r="V114" i="7"/>
  <c r="V13" i="7"/>
  <c r="V72" i="7"/>
  <c r="V128" i="7"/>
  <c r="V15" i="7"/>
  <c r="V108" i="7"/>
  <c r="V168" i="7"/>
  <c r="V190" i="7"/>
  <c r="V158" i="7"/>
  <c r="V169" i="7"/>
  <c r="V109" i="7"/>
  <c r="V132" i="7"/>
  <c r="V76" i="7"/>
  <c r="V111" i="7"/>
  <c r="V107" i="7"/>
  <c r="V71" i="7"/>
  <c r="V2" i="7"/>
  <c r="V64" i="7"/>
  <c r="V131" i="7"/>
  <c r="V16" i="7"/>
  <c r="V14" i="7"/>
  <c r="V110" i="7"/>
  <c r="B141" i="13"/>
  <c r="B151" i="13"/>
  <c r="B140" i="13"/>
  <c r="B150" i="13"/>
  <c r="B142" i="13"/>
  <c r="B152" i="13"/>
  <c r="W158" i="7"/>
  <c r="R158" i="7"/>
  <c r="W38" i="7"/>
  <c r="R38" i="7"/>
  <c r="W106" i="7"/>
  <c r="R106" i="7"/>
  <c r="W40" i="7"/>
  <c r="R40" i="7"/>
  <c r="W139" i="7"/>
  <c r="R139" i="7"/>
  <c r="W51" i="7"/>
  <c r="R51" i="7"/>
  <c r="W182" i="7"/>
  <c r="R182" i="7"/>
  <c r="W31" i="7"/>
  <c r="R31" i="7"/>
  <c r="W92" i="7"/>
  <c r="R92" i="7"/>
  <c r="W75" i="7"/>
  <c r="R75" i="7"/>
  <c r="W99" i="7"/>
  <c r="R99" i="7"/>
  <c r="W102" i="7"/>
  <c r="R102" i="7"/>
  <c r="W2" i="7"/>
  <c r="R2" i="7"/>
  <c r="W190" i="7"/>
  <c r="R190" i="7"/>
  <c r="W123" i="7"/>
  <c r="R123" i="7"/>
  <c r="W39" i="7"/>
  <c r="R39" i="7"/>
  <c r="W7" i="7"/>
  <c r="R7" i="7"/>
  <c r="W78" i="7"/>
  <c r="R78" i="7"/>
  <c r="W47" i="7"/>
  <c r="R47" i="7"/>
  <c r="W160" i="7"/>
  <c r="R160" i="7"/>
  <c r="W29" i="7"/>
  <c r="R29" i="7"/>
  <c r="W58" i="7"/>
  <c r="R58" i="7"/>
  <c r="W89" i="7"/>
  <c r="R89" i="7"/>
  <c r="W4" i="7"/>
  <c r="R4" i="7"/>
  <c r="W28" i="7"/>
  <c r="R28" i="7"/>
  <c r="W90" i="7"/>
  <c r="R90" i="7"/>
  <c r="W95" i="7"/>
  <c r="R95" i="7"/>
  <c r="W145" i="7"/>
  <c r="R145" i="7"/>
  <c r="W126" i="7"/>
  <c r="R126" i="7"/>
  <c r="W55" i="7"/>
  <c r="R55" i="7"/>
  <c r="W104" i="7"/>
  <c r="R104" i="7"/>
  <c r="W94" i="7"/>
  <c r="R94" i="7"/>
  <c r="W144" i="7"/>
  <c r="R144" i="7"/>
  <c r="W125" i="7"/>
  <c r="R125" i="7"/>
  <c r="W9" i="7"/>
  <c r="R9" i="7"/>
  <c r="W138" i="7"/>
  <c r="R138" i="7"/>
  <c r="W120" i="7"/>
  <c r="R120" i="7"/>
  <c r="W3" i="7"/>
  <c r="R3" i="7"/>
  <c r="W44" i="7"/>
  <c r="R44" i="7"/>
  <c r="W187" i="7"/>
  <c r="R187" i="7"/>
  <c r="W164" i="7"/>
  <c r="R164" i="7"/>
  <c r="W122" i="7"/>
  <c r="R122" i="7"/>
  <c r="W57" i="7"/>
  <c r="R57" i="7"/>
  <c r="W91" i="7"/>
  <c r="R91" i="7"/>
  <c r="W147" i="7"/>
  <c r="R147" i="7"/>
  <c r="W180" i="7"/>
  <c r="R180" i="7"/>
  <c r="W167" i="7"/>
  <c r="R167" i="7"/>
  <c r="W10" i="7"/>
  <c r="R10" i="7"/>
  <c r="W36" i="7"/>
  <c r="R36" i="7"/>
  <c r="W185" i="7"/>
  <c r="R185" i="7"/>
  <c r="W143" i="7"/>
  <c r="R143" i="7"/>
  <c r="W63" i="7"/>
  <c r="R63" i="7"/>
  <c r="W161" i="7"/>
  <c r="R161" i="7"/>
  <c r="W183" i="7"/>
  <c r="R183" i="7"/>
  <c r="W27" i="7"/>
  <c r="R27" i="7"/>
  <c r="W151" i="7"/>
  <c r="R151" i="7"/>
  <c r="W165" i="7"/>
  <c r="R165" i="7"/>
  <c r="W179" i="7"/>
  <c r="R179" i="7"/>
  <c r="W32" i="7"/>
  <c r="R32" i="7"/>
  <c r="W64" i="7"/>
  <c r="R64" i="7"/>
  <c r="W26" i="7"/>
  <c r="R26" i="7"/>
  <c r="W81" i="7"/>
  <c r="R81" i="7"/>
  <c r="W150" i="7"/>
  <c r="R150" i="7"/>
  <c r="W113" i="7"/>
  <c r="R113" i="7"/>
  <c r="W41" i="7"/>
  <c r="R41" i="7"/>
  <c r="W112" i="7"/>
  <c r="R112" i="7"/>
  <c r="W152" i="7"/>
  <c r="R152" i="7"/>
  <c r="W62" i="7"/>
  <c r="R62" i="7"/>
  <c r="W37" i="7"/>
  <c r="R37" i="7"/>
  <c r="W134" i="7"/>
  <c r="R134" i="7"/>
  <c r="W191" i="7"/>
  <c r="R191" i="7"/>
  <c r="W181" i="7"/>
  <c r="R181" i="7"/>
  <c r="W132" i="7"/>
  <c r="R132" i="7"/>
  <c r="W166" i="7"/>
  <c r="R166" i="7"/>
  <c r="W107" i="7"/>
  <c r="R107" i="7"/>
  <c r="W109" i="7"/>
  <c r="R109" i="7"/>
  <c r="W168" i="7"/>
  <c r="R168" i="7"/>
  <c r="W72" i="7"/>
  <c r="R72" i="7"/>
  <c r="W114" i="7"/>
  <c r="R114" i="7"/>
  <c r="W48" i="7"/>
  <c r="R48" i="7"/>
  <c r="W127" i="7"/>
  <c r="R127" i="7"/>
  <c r="W42" i="7"/>
  <c r="R42" i="7"/>
  <c r="W82" i="7"/>
  <c r="R82" i="7"/>
  <c r="W8" i="7"/>
  <c r="R8" i="7"/>
  <c r="W5" i="7"/>
  <c r="R5" i="7"/>
  <c r="W118" i="7"/>
  <c r="R118" i="7"/>
  <c r="W59" i="7"/>
  <c r="R59" i="7"/>
  <c r="W163" i="7"/>
  <c r="R163" i="7"/>
  <c r="W133" i="7"/>
  <c r="R133" i="7"/>
  <c r="W117" i="7"/>
  <c r="R117" i="7"/>
  <c r="W11" i="7"/>
  <c r="R11" i="7"/>
  <c r="W97" i="7"/>
  <c r="R97" i="7"/>
  <c r="W130" i="7"/>
  <c r="R130" i="7"/>
  <c r="W189" i="7"/>
  <c r="R189" i="7"/>
  <c r="W174" i="7"/>
  <c r="R174" i="7"/>
  <c r="W141" i="7"/>
  <c r="R141" i="7"/>
  <c r="W35" i="7"/>
  <c r="R35" i="7"/>
  <c r="W153" i="7"/>
  <c r="R153" i="7"/>
  <c r="W101" i="7"/>
  <c r="R101" i="7"/>
  <c r="W54" i="7"/>
  <c r="R54" i="7"/>
  <c r="W156" i="7"/>
  <c r="R156" i="7"/>
  <c r="W25" i="7"/>
  <c r="R25" i="7"/>
  <c r="W100" i="7"/>
  <c r="R100" i="7"/>
  <c r="W53" i="7"/>
  <c r="R53" i="7"/>
  <c r="W46" i="7"/>
  <c r="R46" i="7"/>
  <c r="W60" i="7"/>
  <c r="R60" i="7"/>
  <c r="W12" i="7"/>
  <c r="R12" i="7"/>
  <c r="W136" i="7"/>
  <c r="R136" i="7"/>
  <c r="W98" i="7"/>
  <c r="R98" i="7"/>
  <c r="W146" i="7"/>
  <c r="R146" i="7"/>
  <c r="W30" i="7"/>
  <c r="R30" i="7"/>
  <c r="W56" i="7"/>
  <c r="R56" i="7"/>
  <c r="W178" i="7"/>
  <c r="R178" i="7"/>
  <c r="W170" i="7"/>
  <c r="R170" i="7"/>
  <c r="W131" i="7"/>
  <c r="R131" i="7"/>
  <c r="W76" i="7"/>
  <c r="R76" i="7"/>
  <c r="W15" i="7"/>
  <c r="R15" i="7"/>
  <c r="W49" i="7"/>
  <c r="R49" i="7"/>
  <c r="W88" i="7"/>
  <c r="R88" i="7"/>
  <c r="W171" i="7"/>
  <c r="R171" i="7"/>
  <c r="W84" i="7"/>
  <c r="R84" i="7"/>
  <c r="W162" i="7"/>
  <c r="R162" i="7"/>
  <c r="W80" i="7"/>
  <c r="R80" i="7"/>
  <c r="W186" i="7"/>
  <c r="R186" i="7"/>
  <c r="W157" i="7"/>
  <c r="R157" i="7"/>
  <c r="W61" i="7"/>
  <c r="R61" i="7"/>
  <c r="W6" i="7"/>
  <c r="R6" i="7"/>
  <c r="W110" i="7"/>
  <c r="R110" i="7"/>
  <c r="W71" i="7"/>
  <c r="R71" i="7"/>
  <c r="W128" i="7"/>
  <c r="R128" i="7"/>
  <c r="W14" i="7"/>
  <c r="R14" i="7"/>
  <c r="W16" i="7"/>
  <c r="R16" i="7"/>
  <c r="W111" i="7"/>
  <c r="R111" i="7"/>
  <c r="W169" i="7"/>
  <c r="R169" i="7"/>
  <c r="W108" i="7"/>
  <c r="R108" i="7"/>
  <c r="W13" i="7"/>
  <c r="R13" i="7"/>
  <c r="W140" i="7"/>
  <c r="R140" i="7"/>
  <c r="W119" i="7"/>
  <c r="R119" i="7"/>
  <c r="W135" i="7"/>
  <c r="R135" i="7"/>
  <c r="W137" i="7"/>
  <c r="R137" i="7"/>
  <c r="W83" i="7"/>
  <c r="R83" i="7"/>
  <c r="W96" i="7"/>
  <c r="R96" i="7"/>
  <c r="W149" i="7"/>
  <c r="R149" i="7"/>
  <c r="W43" i="7"/>
  <c r="R43" i="7"/>
  <c r="W142" i="7"/>
  <c r="R142" i="7"/>
  <c r="W105" i="7"/>
  <c r="R105" i="7"/>
  <c r="W148" i="7"/>
  <c r="R148" i="7"/>
  <c r="W176" i="7"/>
  <c r="R176" i="7"/>
  <c r="W50" i="7"/>
  <c r="R50" i="7"/>
  <c r="W45" i="7"/>
  <c r="R45" i="7"/>
  <c r="W175" i="7"/>
  <c r="R175" i="7"/>
  <c r="W74" i="7"/>
  <c r="R74" i="7"/>
  <c r="W206" i="7"/>
  <c r="R206" i="7"/>
  <c r="W172" i="7"/>
  <c r="R172" i="7"/>
  <c r="W155" i="7"/>
  <c r="R155" i="7"/>
  <c r="W93" i="7"/>
  <c r="R93" i="7"/>
  <c r="W73" i="7"/>
  <c r="R73" i="7"/>
  <c r="W86" i="7"/>
  <c r="R86" i="7"/>
  <c r="W154" i="7"/>
  <c r="R154" i="7"/>
  <c r="W121" i="7"/>
  <c r="R121" i="7"/>
  <c r="W103" i="7"/>
  <c r="R103" i="7"/>
  <c r="W188" i="7"/>
  <c r="R188" i="7"/>
  <c r="W124" i="7"/>
  <c r="R124" i="7"/>
  <c r="W159" i="7"/>
  <c r="R159" i="7"/>
  <c r="W115" i="7"/>
  <c r="R115" i="7"/>
  <c r="W33" i="7"/>
  <c r="R33" i="7"/>
  <c r="W77" i="7"/>
  <c r="R77" i="7"/>
  <c r="W129" i="7"/>
  <c r="R129" i="7"/>
  <c r="W173" i="7"/>
  <c r="R173" i="7"/>
  <c r="W52" i="7"/>
  <c r="R52" i="7"/>
  <c r="W85" i="7"/>
  <c r="R85" i="7"/>
  <c r="W177" i="7"/>
  <c r="R177" i="7"/>
  <c r="W184" i="7"/>
  <c r="R184" i="7"/>
  <c r="W34" i="7"/>
  <c r="R34" i="7"/>
  <c r="W79" i="7"/>
  <c r="R79" i="7"/>
  <c r="W116" i="7"/>
  <c r="R116" i="7"/>
  <c r="W87" i="7"/>
  <c r="R87" i="7"/>
  <c r="B143" i="13"/>
  <c r="B153" i="13"/>
</calcChain>
</file>

<file path=xl/sharedStrings.xml><?xml version="1.0" encoding="utf-8"?>
<sst xmlns="http://schemas.openxmlformats.org/spreadsheetml/2006/main" count="2468" uniqueCount="367">
  <si>
    <t>Instalace fotovoltaických systémů (pro výrobu elektřiny)</t>
  </si>
  <si>
    <t>Instalace fototermických systémů (pro výrobu tepla)</t>
  </si>
  <si>
    <t>Instalace kogenerační jednotky</t>
  </si>
  <si>
    <t>Instalace kotle na biomasu</t>
  </si>
  <si>
    <t>Průmysl</t>
  </si>
  <si>
    <t>Energetika</t>
  </si>
  <si>
    <t>Služby</t>
  </si>
  <si>
    <t>Domácnosti</t>
  </si>
  <si>
    <t>Veřejná správa</t>
  </si>
  <si>
    <t>Investice [Kč/GJ]</t>
  </si>
  <si>
    <t>Návratnost bez dotace [r]</t>
  </si>
  <si>
    <t>Životnost [r]</t>
  </si>
  <si>
    <t>Elektřina</t>
  </si>
  <si>
    <t>Teplo</t>
  </si>
  <si>
    <t>Jen paliva</t>
  </si>
  <si>
    <t>Všechny nositele energie</t>
  </si>
  <si>
    <r>
      <t>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[kg/GJ]</t>
    </r>
  </si>
  <si>
    <r>
      <t>CH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[g/GJ]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</si>
  <si>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O [g/GJ]</t>
    </r>
  </si>
  <si>
    <t>Doprava</t>
  </si>
  <si>
    <t>Doprava - železniční</t>
  </si>
  <si>
    <t>Doprava - silniční</t>
  </si>
  <si>
    <t>Doprava - vnitrostátní vodní</t>
  </si>
  <si>
    <t>Doprava - vnitrostátní letecká</t>
  </si>
  <si>
    <t>Doprava - potrubní</t>
  </si>
  <si>
    <t>Průmysl - neželezné kovy</t>
  </si>
  <si>
    <t>Průmysl - chemický a petrochemický</t>
  </si>
  <si>
    <t>Průmysl - nekovové materiály</t>
  </si>
  <si>
    <t>Průmysl - těžba a úprava paliv</t>
  </si>
  <si>
    <t>Průmysl - potraviny a tabák</t>
  </si>
  <si>
    <t>Průmysl - ostatní</t>
  </si>
  <si>
    <t>Průmysl - železo a ocel</t>
  </si>
  <si>
    <t>Průmysl - papír, celulóza, polygrafie</t>
  </si>
  <si>
    <t>Energetika - rafinérie</t>
  </si>
  <si>
    <t>Energetika - výroba a úprava tuhých paliv</t>
  </si>
  <si>
    <t>Sektor</t>
  </si>
  <si>
    <t>Opatření</t>
  </si>
  <si>
    <t>Šetřený nositel energie</t>
  </si>
  <si>
    <t>Seznam energetických úsporných opatření</t>
  </si>
  <si>
    <t>Šetřené nositele energie</t>
  </si>
  <si>
    <t>NIR sektory pro úspory energie</t>
  </si>
  <si>
    <t>Základní sektory</t>
  </si>
  <si>
    <t>Zemědělství</t>
  </si>
  <si>
    <t>Nejpodobnější sektor</t>
  </si>
  <si>
    <t>Paliva a teplo</t>
  </si>
  <si>
    <r>
      <t>Emisní koeficient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[kg/GJ]</t>
    </r>
  </si>
  <si>
    <t>Klíč</t>
  </si>
  <si>
    <r>
      <t>Emisní koeficient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 [kg/GJ]</t>
    </r>
  </si>
  <si>
    <r>
      <t>Emisní koeficient 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[g/GJ]</t>
    </r>
  </si>
  <si>
    <r>
      <t>Emisní koeficient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[g/GJ]</t>
    </r>
  </si>
  <si>
    <t>OZE mimo biomasu</t>
  </si>
  <si>
    <t>Kapalná biopaliva</t>
  </si>
  <si>
    <t>Plynná biopaliva</t>
  </si>
  <si>
    <t>Tuhá biopaliva</t>
  </si>
  <si>
    <t>Zemní plyn</t>
  </si>
  <si>
    <r>
      <t>Investice [Kč/t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eq]</t>
    </r>
  </si>
  <si>
    <t>Instalace ekonomizéru za kotel</t>
  </si>
  <si>
    <t>Využití odpadního tepla</t>
  </si>
  <si>
    <t>Regulace oběhového čerpadla</t>
  </si>
  <si>
    <t>Změna technologických postupů</t>
  </si>
  <si>
    <t>Tepelná izolace technologií</t>
  </si>
  <si>
    <t>Výměna stávajícího osvětlení za LED80</t>
  </si>
  <si>
    <t>Instalace tepelného čerpadla v průmyslu</t>
  </si>
  <si>
    <t>Energetický management</t>
  </si>
  <si>
    <t>Náhrada uhelného kotle za uhelný</t>
  </si>
  <si>
    <t>Instalace frekvenčních měničů</t>
  </si>
  <si>
    <t>Snížení ztrát v rozvodech tepla</t>
  </si>
  <si>
    <t>Instalace/Výměna kompresorů</t>
  </si>
  <si>
    <t>Výměna transformátoru</t>
  </si>
  <si>
    <t>Zateplení budovy</t>
  </si>
  <si>
    <t>Náhrada přímotopu tepelným čerpadlem</t>
  </si>
  <si>
    <t>Náhrada uhelného kotle za plynový</t>
  </si>
  <si>
    <t>Náhrada kotle na tuhá paliva tepelným čerpadlem</t>
  </si>
  <si>
    <t>Výměna osvětlení LED80 za LED110</t>
  </si>
  <si>
    <t>Snížení energetické náročnosti spotřebičů</t>
  </si>
  <si>
    <t>Přechod elektrické trakce z ss na st napájení</t>
  </si>
  <si>
    <t>Náhrada atmosférického plynového kotle kondenzačním</t>
  </si>
  <si>
    <t>Záměna ohřívače TUV tepelným čerpadlem</t>
  </si>
  <si>
    <t>Přechod z individuální osobní dopravy na veřejnou osobní dopravu</t>
  </si>
  <si>
    <t>Vnější osvětlení - instalace LED</t>
  </si>
  <si>
    <t>Výměna plynové vařicí desky za elektrickou</t>
  </si>
  <si>
    <t>Instalace nucené ventilace s rekuperací</t>
  </si>
  <si>
    <t>Náhrada fosilních paliv vozů M1, M2, M3, N1 a L za elektřinu</t>
  </si>
  <si>
    <t>Zavedení rekuperace na železnici</t>
  </si>
  <si>
    <t>Zavedení rekuperace v MHD</t>
  </si>
  <si>
    <t>Náhrada přímotopu infraohřevem</t>
  </si>
  <si>
    <t>Urychlení obnovy vozidel M2 a M3</t>
  </si>
  <si>
    <t>Urychlení obnovy vozidel M1</t>
  </si>
  <si>
    <t>Urychlení obnovy vozidel N1 až N3</t>
  </si>
  <si>
    <t>Opatření podrobně</t>
  </si>
  <si>
    <t>Instalace ekonomizéru za kotel v Průmysl-MIN náklady</t>
  </si>
  <si>
    <t>Instalace ekonomizéru za kotel v Průmysl-TYP náklady</t>
  </si>
  <si>
    <t>Instalace ekonomizéru za kotel v Zemědělství-MIN náklady</t>
  </si>
  <si>
    <t>Instalace ekonomizéru za kotel v Průmysl-MAX náklady</t>
  </si>
  <si>
    <t>Instalace ekonomizéru za kotel v Zemědělství-TYP náklady</t>
  </si>
  <si>
    <t>Instalace kogenerační jednotky v Průmysl-MIN náklady</t>
  </si>
  <si>
    <t>Instalace ekonomizéru za kotel v Zemědělství-MAX náklady</t>
  </si>
  <si>
    <t>Využití odpadního tepla v Průmysl-MIN náklady</t>
  </si>
  <si>
    <t>Instalace kogenerační jednotky v Průmysl-TYP náklady</t>
  </si>
  <si>
    <t>Regulace oběhového čerpadla v Průmysl-MIN náklady</t>
  </si>
  <si>
    <t>Změna technologických postupů v Průmysl-MIN náklady</t>
  </si>
  <si>
    <t>Využití odpadního tepla v Průmysl-TYP náklady</t>
  </si>
  <si>
    <t>Regulace oběhového čerpadla v Průmysl-TYP náklady</t>
  </si>
  <si>
    <t>Tepelná izolace technologií v Průmysl-MIN náklady</t>
  </si>
  <si>
    <t>Změna technologických postupů v Průmysl-TYP náklady</t>
  </si>
  <si>
    <t>Výměna stávajícího osvětlení za LED80 v Průmysl-MAX náklady</t>
  </si>
  <si>
    <t>Instalace tepelného čerpadla v průmyslu v Průmysl-MIN náklady</t>
  </si>
  <si>
    <t>Instalace kogenerační jednotky v Průmysl-MAX náklady</t>
  </si>
  <si>
    <t>Využití odpadního tepla v Průmysl-MAX náklady</t>
  </si>
  <si>
    <t>Energetický management v Průmysl-MIN náklady</t>
  </si>
  <si>
    <t>Náhrada uhelného kotle za uhelný v Průmysl-MAX náklady</t>
  </si>
  <si>
    <t>Regulace oběhového čerpadla v Služby-MIN náklady</t>
  </si>
  <si>
    <t>Regulace oběhového čerpadla v Veřejný sektor-MIN náklady</t>
  </si>
  <si>
    <t>Regulace oběhového čerpadla v Průmysl-MAX náklady</t>
  </si>
  <si>
    <t>Instalace frekvenčních měničů v Průmysl-MIN náklady</t>
  </si>
  <si>
    <t>Snížení ztrát v rozvodech tepla v Průmysl-MIN náklady</t>
  </si>
  <si>
    <t>Tepelná izolace technologií v Průmysl-TYP náklady</t>
  </si>
  <si>
    <t>Výměna stávajícího osvětlení za LED80 v Zemědělství-MAX náklady</t>
  </si>
  <si>
    <t>Výměna stávajícího osvětlení za LED80 v Služby-MAX náklady</t>
  </si>
  <si>
    <t>Výměna stávajícího osvětlení za LED80 v Veřejný sektor-MAX náklady</t>
  </si>
  <si>
    <t>Výměna stávajícího osvětlení za LED80 v Doprava-MAX náklady</t>
  </si>
  <si>
    <t>Regulace oběhového čerpadla v Služby-TYP náklady</t>
  </si>
  <si>
    <t>Regulace oběhového čerpadla v Veřejný sektor-TYP náklady</t>
  </si>
  <si>
    <t>Instalace tepelného čerpadla v průmyslu v Průmysl-TYP náklady</t>
  </si>
  <si>
    <t>Energetický management v Průmysl-TYP náklady</t>
  </si>
  <si>
    <t>Instalace frekvenčních měničů v Průmysl-TYP náklady</t>
  </si>
  <si>
    <t>Změna technologických postupů v Průmysl-MAX náklady</t>
  </si>
  <si>
    <t>Instalace/Výměna kompresorů v Průmysl-MIN náklady</t>
  </si>
  <si>
    <t>Výměna transformátoru v Průmysl-MIN náklady</t>
  </si>
  <si>
    <t>Instalace tepelného čerpadla v průmyslu v Průmysl-MAX náklady</t>
  </si>
  <si>
    <t>Regulace oběhového čerpadla v Služby-MAX náklady</t>
  </si>
  <si>
    <t>Regulace oběhového čerpadla v Veřejný sektor-MAX náklady</t>
  </si>
  <si>
    <t>Výměna stávajícího osvětlení za LED80 v Domácnosti-MAX náklady</t>
  </si>
  <si>
    <t>Energetický management v Služby-MIN náklady</t>
  </si>
  <si>
    <t>Energetický management v Veřejný sektor-MIN náklady</t>
  </si>
  <si>
    <t>Zateplení budovy v Průmysl-MIN náklady</t>
  </si>
  <si>
    <t>Náhrada uhelného kotle za uhelný v Zemědělství-MAX náklady</t>
  </si>
  <si>
    <t>Náhrada přímotopu tepelným čerpadlem v Služby-MIN náklady</t>
  </si>
  <si>
    <t>Náhrada přímotopu tepelným čerpadlem v Veřejný sektor-MIN náklady</t>
  </si>
  <si>
    <t>Energetický management v Průmysl-MAX náklady</t>
  </si>
  <si>
    <t>Náhrada uhelného kotle za plynový v Průmysl-MIN náklady</t>
  </si>
  <si>
    <t>Náhrada kotle na tuhá paliva tepelným čerpadlem v Domácnosti-TYP náklady</t>
  </si>
  <si>
    <t>Instalace/Výměna kompresorů v Průmysl-TYP náklady</t>
  </si>
  <si>
    <t>Výměna transformátoru v Průmysl-TYP náklady</t>
  </si>
  <si>
    <t>Energetický management v Služby-TYP náklady</t>
  </si>
  <si>
    <t>Energetický management v Veřejný sektor-TYP náklady</t>
  </si>
  <si>
    <t>Výměna osvětlení LED80 za LED110 v Průmysl-MIN náklady</t>
  </si>
  <si>
    <t>Náhrada kotle na tuhá paliva tepelným čerpadlem v Služby-TYP náklady</t>
  </si>
  <si>
    <t>Náhrada kotle na tuhá paliva tepelným čerpadlem v Veřejný sektor-TYP náklady</t>
  </si>
  <si>
    <t>Tepelná izolace technologií v Průmysl-MAX náklady</t>
  </si>
  <si>
    <t>Náhrada přímotopu tepelným čerpadlem v Domácnosti-MIN náklady</t>
  </si>
  <si>
    <t>Instalace fotovoltaických systémů (pro výrobu elektřiny) v Průmysl-MIN náklady</t>
  </si>
  <si>
    <t>Zateplení budovy v Průmysl-TYP náklady</t>
  </si>
  <si>
    <t>Výměna osvětlení LED80 za LED110 v Doprava-MIN náklady</t>
  </si>
  <si>
    <t>Náhrada přímotopu tepelným čerpadlem v Služby-TYP náklady</t>
  </si>
  <si>
    <t>Náhrada přímotopu tepelným čerpadlem v Veřejný sektor-TYP náklady</t>
  </si>
  <si>
    <t>Instalace fototermických systémů (pro výrobu tepla) v Průmysl-MIN náklady</t>
  </si>
  <si>
    <t>Instalace fotovoltaických systémů (pro výrobu elektřiny) v Doprava-MIN náklady</t>
  </si>
  <si>
    <t>Energetický management v Služby-MAX náklady</t>
  </si>
  <si>
    <t>Energetický management v Veřejný sektor-MAX náklady</t>
  </si>
  <si>
    <t>Náhrada kotle na tuhá paliva plynovým atmosférickým v Domácnosti-TYP náklady</t>
  </si>
  <si>
    <t>Náhrada kotle na tuhá paliva plynovým atmosférickým v Služby-TYP náklady</t>
  </si>
  <si>
    <t>Náhrada kotle na tuhá paliva plynovým atmosférickým v Veřejný sektor-TYP náklady</t>
  </si>
  <si>
    <t>Snížení energetické náročnosti spotřebičů v Doprava-MIN náklady</t>
  </si>
  <si>
    <t>Výměna osvětlení LED80 za LED110 v Průmysl-TYP náklady</t>
  </si>
  <si>
    <t>Přechod elektrické trakce z ss na st napájení v Doprava-TYP náklady</t>
  </si>
  <si>
    <t>Náhrada uhelného kotle za plynový v Zemědělství-MIN náklady</t>
  </si>
  <si>
    <t>Náhrada přímotopu tepelným čerpadlem v Domácnosti-TYP náklady</t>
  </si>
  <si>
    <t>Instalace fotovoltaických systémů (pro výrobu elektřiny) v Průmysl-TYP náklady</t>
  </si>
  <si>
    <t>Zateplení budovy v Zemědělství-MIN náklady</t>
  </si>
  <si>
    <t>Zateplení budovy v Služby-MIN náklady</t>
  </si>
  <si>
    <t>Zateplení budovy v Veřejný sektor-MIN náklady</t>
  </si>
  <si>
    <t>Instalace frekvenčních měničů v Průmysl-MAX náklady</t>
  </si>
  <si>
    <t>Náhrada přímotopu tepelným čerpadlem v Služby-MAX náklady</t>
  </si>
  <si>
    <t>Náhrada přímotopu tepelným čerpadlem v Veřejný sektor-MAX náklady</t>
  </si>
  <si>
    <t>Zateplení budovy v Domácnosti-MIN náklady</t>
  </si>
  <si>
    <t>Náhrada atmosférického plynového kotle kondenzačním v Služby-MIN náklady</t>
  </si>
  <si>
    <t>Náhrada atmosférického plynového kotle kondenzačním v Veřejný sektor-MIN náklady</t>
  </si>
  <si>
    <t>Instalace fototermických systémů (pro výrobu tepla) v Průmysl-TYP náklady</t>
  </si>
  <si>
    <t>Zateplení budovy v Průmysl-MAX náklady</t>
  </si>
  <si>
    <t>Záměna ohřívače TUV tepelným čerpadlem v Služby-TYP náklady</t>
  </si>
  <si>
    <t>Záměna ohřívače TUV tepelným čerpadlem v Veřejný sektor-TYP náklady</t>
  </si>
  <si>
    <t>Přechod z individuální osobní dopravy na veřejnou osobní dopravu v Doprava-TYP náklady</t>
  </si>
  <si>
    <t>Zateplení budovy v Zemědělství-TYP náklady</t>
  </si>
  <si>
    <t>Zateplení budovy v Služby-TYP náklady</t>
  </si>
  <si>
    <t>Zateplení budovy v Veřejný sektor-TYP náklady</t>
  </si>
  <si>
    <t>Náhrada atmosférického plynového kotle kondenzačním v Domácnosti-MIN náklady</t>
  </si>
  <si>
    <t>Zateplení budovy v Domácnosti-TYP náklady</t>
  </si>
  <si>
    <t>Náhrada atmosférického plynového kotle kondenzačním v Služby-TYP náklady</t>
  </si>
  <si>
    <t>Náhrada atmosférického plynového kotle kondenzačním v Veřejný sektor-TYP náklady</t>
  </si>
  <si>
    <t>Záměna ohřívače TUV tepelným čerpadlem v Domácnosti-TYP náklady</t>
  </si>
  <si>
    <t>Snížení ztrát v rozvodech tepla v Průmysl-TYP náklady</t>
  </si>
  <si>
    <t>Vnější osvětlení - instalace LED v Veřejný sektor-MIN náklady</t>
  </si>
  <si>
    <t>Instalace/Výměna kompresorů v Průmysl-MAX náklady</t>
  </si>
  <si>
    <t>Výměna transformátoru v Průmysl-MAX náklady</t>
  </si>
  <si>
    <t>Náhrada atmosférického plynového kotle kondenzačním v Domácnosti-TYP náklady</t>
  </si>
  <si>
    <t>Instalace fototermických systémů (pro výrobu tepla) v Zemědělství-MIN náklady</t>
  </si>
  <si>
    <t>Instalace fototermických systémů (pro výrobu tepla) v Služby-MIN náklady</t>
  </si>
  <si>
    <t>Instalace fototermických systémů (pro výrobu tepla) v Veřejný sektor-MIN náklady</t>
  </si>
  <si>
    <t>Instalace fototermických systémů (pro výrobu tepla) v Doprava-MIN náklady</t>
  </si>
  <si>
    <t>Výměna osvětlení LED80 za LED110 v Zemědělství-MIN náklady</t>
  </si>
  <si>
    <t>Výměna osvětlení LED80 za LED110 v Služby-MIN náklady</t>
  </si>
  <si>
    <t>Výměna osvětlení LED80 za LED110 v Veřejný sektor-MIN náklady</t>
  </si>
  <si>
    <t>Zateplení budovy v Zemědělství-MAX náklady</t>
  </si>
  <si>
    <t>Zateplení budovy v Služby-MAX náklady</t>
  </si>
  <si>
    <t>Zateplení budovy v Veřejný sektor-MAX náklady</t>
  </si>
  <si>
    <t>Instalace fototermických systémů (pro výrobu tepla) v Domácnosti-MIN náklady</t>
  </si>
  <si>
    <t>Náhrada přímotopu tepelným čerpadlem v Domácnosti-MAX náklady</t>
  </si>
  <si>
    <t>Instalace fotovoltaických systémů (pro výrobu elektřiny) v Zemědělství-MIN náklady</t>
  </si>
  <si>
    <t>Instalace fotovoltaických systémů (pro výrobu elektřiny) v Služby-MIN náklady</t>
  </si>
  <si>
    <t>Instalace fotovoltaických systémů (pro výrobu elektřiny) v Veřejný sektor-MIN náklady</t>
  </si>
  <si>
    <t>Instalace fototermických systémů (pro výrobu tepla) v Průmysl-MAX náklady</t>
  </si>
  <si>
    <t>Výměna plynové vařicí desky za elektrickou v Domácnosti-MIN náklady</t>
  </si>
  <si>
    <t>Snížení energetické náročnosti spotřebičů v Služby-MIN náklady</t>
  </si>
  <si>
    <t>Snížení energetické náročnosti spotřebičů v Veřejný sektor-MIN náklady</t>
  </si>
  <si>
    <t>Instalace fototermických systémů (pro výrobu tepla) v Zemědělství-TYP náklady</t>
  </si>
  <si>
    <t>Instalace fototermických systémů (pro výrobu tepla) v Služby-TYP náklady</t>
  </si>
  <si>
    <t>Instalace fototermických systémů (pro výrobu tepla) v Veřejný sektor-TYP náklady</t>
  </si>
  <si>
    <t>Snížení ztrát v rozvodech tepla v Průmysl-MAX náklady</t>
  </si>
  <si>
    <t>Výměna osvětlení LED80 za LED110 v Domácnosti-MIN náklady</t>
  </si>
  <si>
    <t>Instalace nucené ventilace s rekuperací v Domácnosti-MIN náklady</t>
  </si>
  <si>
    <t>Zateplení budovy v Domácnosti-MAX náklady</t>
  </si>
  <si>
    <t>Vnější osvětlení - instalace LED v Veřejný sektor-TYP náklady</t>
  </si>
  <si>
    <t>Instalace fototermických systémů (pro výrobu tepla) v Domácnosti-TYP náklady</t>
  </si>
  <si>
    <t>Instalace fotovoltaických systémů (pro výrobu elektřiny) v Domácnosti-MIN náklady</t>
  </si>
  <si>
    <t>Náhrada fosilních paliv vozů M1, M2, M3, N1 a L za elektřinu v Doprava-MIN náklady</t>
  </si>
  <si>
    <t>Náhrada fosilních paliv vozů M1, M2, M3, N1 a L za elektřinu v Doprava-TYP náklady</t>
  </si>
  <si>
    <t>Náhrada fosilních paliv vozů M1, M2, M3, N1 a L za elektřinu v Doprava-MAX náklady</t>
  </si>
  <si>
    <t>Instalace fototermických systémů (pro výrobu tepla) v Doprava-TYP náklady</t>
  </si>
  <si>
    <t>Snížení energetické náročnosti spotřebičů v Domácnosti-MIN náklady</t>
  </si>
  <si>
    <t>Výměna plynové vařicí desky za elektrickou v Domácnosti-TYP náklady</t>
  </si>
  <si>
    <t>Výměna osvětlení LED80 za LED110 v Zemědělství-TYP náklady</t>
  </si>
  <si>
    <t>Výměna osvětlení LED80 za LED110 v Průmysl-MAX náklady</t>
  </si>
  <si>
    <t>Výměna osvětlení LED80 za LED110 v Služby-TYP náklady</t>
  </si>
  <si>
    <t>Výměna osvětlení LED80 za LED110 v Veřejný sektor-TYP náklady</t>
  </si>
  <si>
    <t>Výměna osvětlení LED80 za LED110 v Doprava-TYP náklady</t>
  </si>
  <si>
    <t>Instalace nucené ventilace s rekuperací v Domácnosti-TYP náklady</t>
  </si>
  <si>
    <t>Instalace fotovoltaických systémů (pro výrobu elektřiny) v Zemědělství-TYP náklady</t>
  </si>
  <si>
    <t>Instalace fotovoltaických systémů (pro výrobu elektřiny) v Průmysl-MAX náklady</t>
  </si>
  <si>
    <t>Instalace fotovoltaických systémů (pro výrobu elektřiny) v Služby-TYP náklady</t>
  </si>
  <si>
    <t>Instalace fotovoltaických systémů (pro výrobu elektřiny) v Veřejný sektor-TYP náklady</t>
  </si>
  <si>
    <t>Instalace fotovoltaických systémů (pro výrobu elektřiny) v Doprava-TYP náklady</t>
  </si>
  <si>
    <t>Snížení energetické náročnosti spotřebičů v Služby-TYP náklady</t>
  </si>
  <si>
    <t>Snížení energetické náročnosti spotřebičů v Veřejný sektor-TYP náklady</t>
  </si>
  <si>
    <t>Snížení energetické náročnosti spotřebičů v Doprava-TYP náklady</t>
  </si>
  <si>
    <t>Instalace fototermických systémů (pro výrobu tepla) v Zemědělství-MAX náklady</t>
  </si>
  <si>
    <t>Instalace fototermických systémů (pro výrobu tepla) v Služby-MAX náklady</t>
  </si>
  <si>
    <t>Instalace fototermických systémů (pro výrobu tepla) v Veřejný sektor-MAX náklady</t>
  </si>
  <si>
    <t>Vnější osvětlení - instalace LED v Veřejný sektor-MAX náklady</t>
  </si>
  <si>
    <t>Náhrada atmosférického plynového kotle kondenzačním v Služby-MAX náklady</t>
  </si>
  <si>
    <t>Náhrada atmosférického plynového kotle kondenzačním v Veřejný sektor-MAX náklady</t>
  </si>
  <si>
    <t>Náhrada atmosférického plynového kotle kondenzačním v Domácnosti-MAX náklady</t>
  </si>
  <si>
    <t>Výměna osvětlení LED80 za LED110 v Domácnosti-TYP náklady</t>
  </si>
  <si>
    <t>Instalace fototermických systémů (pro výrobu tepla) v Doprava-MAX náklady</t>
  </si>
  <si>
    <t>Instalace fotovoltaických systémů (pro výrobu elektřiny) v Domácnosti-TYP náklady</t>
  </si>
  <si>
    <t>Výměna osvětlení LED80 za LED110 v Zemědělství-MAX náklady</t>
  </si>
  <si>
    <t>Výměna osvětlení LED80 za LED110 v Služby-MAX náklady</t>
  </si>
  <si>
    <t>Výměna osvětlení LED80 za LED110 v Veřejný sektor-MAX náklady</t>
  </si>
  <si>
    <t>Výměna osvětlení LED80 za LED110 v Doprava-MAX náklady</t>
  </si>
  <si>
    <t>Instalace nucené ventilace s rekuperací v Domácnosti-MAX náklady</t>
  </si>
  <si>
    <t>Zavedení rekuperace na železnici v Doprava-TYP náklady</t>
  </si>
  <si>
    <t>Snížení energetické náročnosti spotřebičů v Domácnosti-TYP náklady</t>
  </si>
  <si>
    <t>Instalace fototermických systémů (pro výrobu tepla) v Domácnosti-MAX náklady</t>
  </si>
  <si>
    <t>Instalace fotovoltaických systémů (pro výrobu elektřiny) v Zemědělství-MAX náklady</t>
  </si>
  <si>
    <t>Instalace fotovoltaických systémů (pro výrobu elektřiny) v Služby-MAX náklady</t>
  </si>
  <si>
    <t>Instalace fotovoltaických systémů (pro výrobu elektřiny) v Veřejný sektor-MAX náklady</t>
  </si>
  <si>
    <t>Instalace fotovoltaických systémů (pro výrobu elektřiny) v Doprava-MAX náklady</t>
  </si>
  <si>
    <t>Snížení energetické náročnosti spotřebičů v Služby-MAX náklady</t>
  </si>
  <si>
    <t>Snížení energetické náročnosti spotřebičů v Veřejný sektor-MAX náklady</t>
  </si>
  <si>
    <t>Snížení energetické náročnosti spotřebičů v Doprava-MAX náklady</t>
  </si>
  <si>
    <t>Zavedení rekuperace v MHD v Doprava-TYP náklady</t>
  </si>
  <si>
    <t>Náhrada přímotopu infraohřevem v Služby-MIN náklady</t>
  </si>
  <si>
    <t>Náhrada přímotopu infraohřevem v Veřejný sektor-MIN náklady</t>
  </si>
  <si>
    <t>Výměna plynové vařicí desky za elektrickou v Domácnosti-MAX náklady</t>
  </si>
  <si>
    <t>Náhrada přímotopu infraohřevem v Domácnosti-MIN náklady</t>
  </si>
  <si>
    <t>Výměna osvětlení LED80 za LED110 v Domácnosti-MAX náklady</t>
  </si>
  <si>
    <t>Instalace fotovoltaických systémů (pro výrobu elektřiny) v Domácnosti-MAX náklady</t>
  </si>
  <si>
    <t>Snížení energetické náročnosti spotřebičů v Domácnosti-MAX náklady</t>
  </si>
  <si>
    <t>Urychlení obnovy vozidel M2 a M3 v Doprava-TYP náklady</t>
  </si>
  <si>
    <t>Urychlení obnovy vozidel M1 v Doprava-TYP náklady</t>
  </si>
  <si>
    <t>Urychlení obnovy vozidel N1 až N3 v Doprava-TYP náklady</t>
  </si>
  <si>
    <t>Uhlí</t>
  </si>
  <si>
    <t>Kapalná včetně biosložek</t>
  </si>
  <si>
    <t>doprava</t>
  </si>
  <si>
    <t>Potenciál úspor energie v TJ</t>
  </si>
  <si>
    <t>Podíl dotace [%]</t>
  </si>
  <si>
    <t>Název nové politiky (programu)</t>
  </si>
  <si>
    <t>1. úsporné opatření</t>
  </si>
  <si>
    <t>2. úsporné opatření</t>
  </si>
  <si>
    <t>3. úsporné opatření</t>
  </si>
  <si>
    <t>4. úsporné opatření</t>
  </si>
  <si>
    <t>5. úsporné opatření</t>
  </si>
  <si>
    <t>Jaká je předpokládaná alokace programu?</t>
  </si>
  <si>
    <t>mld. Kč</t>
  </si>
  <si>
    <t>Očekávané úspory energie</t>
  </si>
  <si>
    <t>Investice</t>
  </si>
  <si>
    <t>Dotace</t>
  </si>
  <si>
    <t>Podíl dotace na investičních výdajích</t>
  </si>
  <si>
    <t>PJ</t>
  </si>
  <si>
    <t>kg</t>
  </si>
  <si>
    <t>Úspora emisí CO2 [t]</t>
  </si>
  <si>
    <t>Úspora emisí CH4 [kg]</t>
  </si>
  <si>
    <t>Úspora emisí N2O [kg]</t>
  </si>
  <si>
    <t>t</t>
  </si>
  <si>
    <t>Úspora emisí CO2eq [t]</t>
  </si>
  <si>
    <t>Která úsporná opatření v jakých sektorech budou podpořena a jaký je jejich podíl na alokaci programu?</t>
  </si>
  <si>
    <r>
      <t>Očekávané úspory emisí CO</t>
    </r>
    <r>
      <rPr>
        <vertAlign val="subscript"/>
        <sz val="11"/>
        <color theme="1"/>
        <rFont val="Calibri"/>
        <family val="2"/>
        <charset val="238"/>
        <scheme val="minor"/>
      </rPr>
      <t>2eq</t>
    </r>
  </si>
  <si>
    <r>
      <t>Očekávané úspory emisí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</si>
  <si>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Očekávané úspory emisí CH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</si>
  <si>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r>
      <t>Očekávané úspory emisí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</si>
  <si>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Podíl na alokaci programu</t>
  </si>
  <si>
    <t>veřejná správa</t>
  </si>
  <si>
    <t>Alokace</t>
  </si>
  <si>
    <t>Předpokládané vyčerpání alokace</t>
  </si>
  <si>
    <t>Celkový objem investičních výdajů</t>
  </si>
  <si>
    <t>Cena uspořené energie</t>
  </si>
  <si>
    <r>
      <t>Cena uspořených emisí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</si>
  <si>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Kč/GJ</t>
  </si>
  <si>
    <t>Kč/t</t>
  </si>
  <si>
    <r>
      <t>Cena uspořených emisí CH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</si>
  <si>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r>
      <t>Cena uspořených emisí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</si>
  <si>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Cena uspořených emisí CO</t>
    </r>
    <r>
      <rPr>
        <vertAlign val="subscript"/>
        <sz val="11"/>
        <color theme="1"/>
        <rFont val="Calibri"/>
        <family val="2"/>
        <charset val="238"/>
        <scheme val="minor"/>
      </rPr>
      <t>2eq</t>
    </r>
  </si>
  <si>
    <t>Kč/kg</t>
  </si>
  <si>
    <t>Investiční výdaje při předpokládaném vyčerpání alokace</t>
  </si>
  <si>
    <t>Předpokládané využití alokace</t>
  </si>
  <si>
    <t>Sloupec1</t>
  </si>
  <si>
    <t>6. úsporné opatření</t>
  </si>
  <si>
    <t>Instalace kogenerační jednotky v veřejný sektor-MIN náklady</t>
  </si>
  <si>
    <t>Instalace kogenerační jednotky v veřejný sektor-TYP náklady</t>
  </si>
  <si>
    <t>Instalace kogenerační jednotky v služby-TYP náklady</t>
  </si>
  <si>
    <t>Instalace kogenerační jednotky v služby-MIN náklady</t>
  </si>
  <si>
    <t>Instalace kogenerační jednotky v služby-MAX náklady</t>
  </si>
  <si>
    <t>Instalace kogenerační jednotky v veřejný sektor-MAX náklady</t>
  </si>
  <si>
    <t>DopravaNáhrada fosilních paliv vozů M1, M2, M3, N1 a L za elektřinu</t>
  </si>
  <si>
    <t>DomácnostiNáhrada kotle na tuhá paliva tepelným čerpadlem</t>
  </si>
  <si>
    <t>SlužbyNáhrada kotle na tuhá paliva tepelným čerpadlem</t>
  </si>
  <si>
    <t>veřejná správaNáhrada kotle na tuhá paliva tepelným čerpadlem</t>
  </si>
  <si>
    <t>PrůmyslNáhrada uhelného kotle za plynový</t>
  </si>
  <si>
    <t>ZemědělstvíNáhrada uhelného kotle za plynový</t>
  </si>
  <si>
    <t>DomácnostiVýměna plynové vařicí desky za elektrickou</t>
  </si>
  <si>
    <t>7. úsporné opatření</t>
  </si>
  <si>
    <t>8. úsporné opatření</t>
  </si>
  <si>
    <t>9. úsporné opatření</t>
  </si>
  <si>
    <t>10. úsporné opatření</t>
  </si>
  <si>
    <t>Náhrada uhelného kotle za plynový v Domácnosti-TYP náklady</t>
  </si>
  <si>
    <t>Náhrada uhelného kotle za plynový v Služby-TYP náklady</t>
  </si>
  <si>
    <t>Náhrada uhelného kotle za plynový v Veřejný sektor-TYP náklady</t>
  </si>
  <si>
    <t>DomácnostiNáhrada uhelného kotle za plynový</t>
  </si>
  <si>
    <t>SlužbyNáhrada uhelného kotle za plynový</t>
  </si>
  <si>
    <t>veřejná správaNáhrada uhelného kotle za plynový</t>
  </si>
  <si>
    <t>Typ</t>
  </si>
  <si>
    <t>MIN</t>
  </si>
  <si>
    <t>TYP</t>
  </si>
  <si>
    <t>MAX</t>
  </si>
  <si>
    <t>Ni</t>
  </si>
  <si>
    <t>podíl dotace</t>
  </si>
  <si>
    <t>potenciál</t>
  </si>
  <si>
    <t>IN</t>
  </si>
  <si>
    <t>Tolerance</t>
  </si>
  <si>
    <t>CO2</t>
  </si>
  <si>
    <t>CH4</t>
  </si>
  <si>
    <t>N2O</t>
  </si>
  <si>
    <t>CO2eq</t>
  </si>
  <si>
    <t>Celkem</t>
  </si>
  <si>
    <t>dotace</t>
  </si>
  <si>
    <t>součinitel</t>
  </si>
  <si>
    <t>Příklad Operační program životní prostředí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</si>
</sst>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.00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/>
    <xf numFmtId="0" fontId="0" fillId="0" borderId="0" xfId="0" applyAlignment="1"/>
    <xf numFmtId="3" fontId="0" fillId="0" borderId="0" xfId="0" applyNumberFormat="1" applyAlignmen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4" fontId="0" fillId="0" borderId="0" xfId="0" applyNumberFormat="1" applyAlignment="1"/>
    <xf numFmtId="2" fontId="0" fillId="0" borderId="0" xfId="0" applyNumberFormat="1" applyFill="1"/>
    <xf numFmtId="1" fontId="0" fillId="0" borderId="0" xfId="0" applyNumberFormat="1"/>
    <xf numFmtId="9" fontId="0" fillId="0" borderId="0" xfId="1" applyFont="1"/>
    <xf numFmtId="9" fontId="0" fillId="0" borderId="0" xfId="1" applyFont="1" applyAlignment="1"/>
    <xf numFmtId="1" fontId="0" fillId="0" borderId="0" xfId="0" applyNumberFormat="1" applyAlignment="1"/>
    <xf numFmtId="3" fontId="0" fillId="0" borderId="0" xfId="1" applyNumberFormat="1" applyFont="1" applyAlignment="1"/>
    <xf numFmtId="0" fontId="11" fillId="0" borderId="0" xfId="0" applyFont="1"/>
    <xf numFmtId="2" fontId="0" fillId="0" borderId="0" xfId="1" applyNumberFormat="1" applyFont="1"/>
    <xf numFmtId="3" fontId="5" fillId="0" borderId="0" xfId="1" applyNumberFormat="1" applyFont="1" applyAlignment="1"/>
    <xf numFmtId="0" fontId="0" fillId="0" borderId="0" xfId="0" applyFill="1" applyBorder="1"/>
    <xf numFmtId="3" fontId="0" fillId="0" borderId="0" xfId="1" applyNumberFormat="1" applyFont="1" applyFill="1" applyBorder="1"/>
    <xf numFmtId="3" fontId="4" fillId="0" borderId="0" xfId="1" applyNumberFormat="1" applyFont="1" applyAlignment="1"/>
    <xf numFmtId="3" fontId="3" fillId="0" borderId="0" xfId="1" applyNumberFormat="1" applyFont="1" applyAlignment="1"/>
    <xf numFmtId="0" fontId="12" fillId="0" borderId="0" xfId="0" applyFont="1"/>
    <xf numFmtId="0" fontId="11" fillId="0" borderId="0" xfId="0" applyFont="1" applyAlignment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" fontId="0" fillId="0" borderId="9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7" fillId="0" borderId="0" xfId="0" applyFont="1" applyFill="1" applyBorder="1"/>
    <xf numFmtId="0" fontId="7" fillId="0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" xfId="0" applyFill="1" applyBorder="1"/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166" fontId="0" fillId="0" borderId="1" xfId="1" applyNumberFormat="1" applyFont="1" applyFill="1" applyBorder="1"/>
    <xf numFmtId="3" fontId="0" fillId="0" borderId="1" xfId="1" applyNumberFormat="1" applyFont="1" applyFill="1" applyBorder="1"/>
    <xf numFmtId="3" fontId="0" fillId="0" borderId="10" xfId="1" applyNumberFormat="1" applyFont="1" applyFill="1" applyBorder="1"/>
    <xf numFmtId="0" fontId="6" fillId="0" borderId="12" xfId="0" applyFont="1" applyFill="1" applyBorder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0" borderId="13" xfId="0" applyFill="1" applyBorder="1"/>
    <xf numFmtId="9" fontId="2" fillId="0" borderId="0" xfId="0" applyNumberFormat="1" applyFont="1" applyAlignment="1"/>
    <xf numFmtId="3" fontId="2" fillId="0" borderId="0" xfId="0" applyNumberFormat="1" applyFont="1" applyAlignment="1"/>
    <xf numFmtId="3" fontId="0" fillId="0" borderId="0" xfId="0" applyNumberFormat="1"/>
    <xf numFmtId="10" fontId="0" fillId="0" borderId="0" xfId="0" applyNumberFormat="1"/>
    <xf numFmtId="167" fontId="0" fillId="0" borderId="1" xfId="1" applyNumberFormat="1" applyFont="1" applyFill="1" applyBorder="1"/>
    <xf numFmtId="0" fontId="0" fillId="2" borderId="14" xfId="0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/>
      <protection locked="0"/>
    </xf>
    <xf numFmtId="9" fontId="0" fillId="2" borderId="1" xfId="1" applyFont="1" applyFill="1" applyBorder="1" applyProtection="1">
      <protection locked="0"/>
    </xf>
    <xf numFmtId="166" fontId="0" fillId="0" borderId="1" xfId="1" applyNumberFormat="1" applyFont="1" applyFill="1" applyBorder="1" applyProtection="1"/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</cellXfs>
  <cellStyles count="2">
    <cellStyle name="Normální" xfId="0" builtinId="0"/>
    <cellStyle name="Procenta" xfId="1" builtinId="5"/>
  </cellStyles>
  <dxfs count="98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Plochý kontingenční styl" table="0" count="3">
      <tableStyleElement type="headerRow" dxfId="97"/>
      <tableStyleElement type="totalRow" dxfId="96"/>
      <tableStyleElement type="secondRowStripe" dxfId="9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tables/table1.xml><?xml version="1.0" encoding="utf-8"?>
<table xmlns="http://schemas.openxmlformats.org/spreadsheetml/2006/main" id="6" name="Emisní_koeficienty" displayName="Emisní_koeficienty" ref="A1:F225" totalsRowShown="0" headerRowDxfId="54">
  <autoFilter ref="A1:F225"/>
  <tableColumns count="6">
    <tableColumn id="1" name="Šetřený nositel energie"/>
    <tableColumn id="2" name="Sektor"/>
    <tableColumn id="3" name="Klíč">
      <calculatedColumnFormula>A2 &amp; "#" &amp; B2</calculatedColumnFormula>
    </tableColumn>
    <tableColumn id="4" name="CO2 [kg/GJ]" dataDxfId="53"/>
    <tableColumn id="5" name="CH4 [g/GJ]" dataDxfId="52"/>
    <tableColumn id="6" name="N2O [g/GJ]" dataDxfId="5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Úsporná_opatření" displayName="Úsporná_opatření" ref="B1:X207" totalsRowCount="1" headerRowDxfId="50" dataDxfId="49" totalsRowDxfId="48">
  <autoFilter ref="B1:X206"/>
  <sortState ref="B2:O192">
    <sortCondition ref="C1:C192"/>
  </sortState>
  <tableColumns count="23">
    <tableColumn id="1" name="Sektor" dataDxfId="47" totalsRowDxfId="46"/>
    <tableColumn id="2" name="Opatření" dataDxfId="45" totalsRowDxfId="44"/>
    <tableColumn id="13" name="Opatření podrobně" dataDxfId="43" totalsRowDxfId="42"/>
    <tableColumn id="22" name="Sloupec1" dataDxfId="41" totalsRowDxfId="40"/>
    <tableColumn id="3" name="Investice [Kč/GJ]" dataDxfId="39" totalsRowDxfId="38"/>
    <tableColumn id="14" name="Podíl dotace [%]" dataDxfId="37" totalsRowDxfId="36" dataCellStyle="Procenta">
      <calculatedColumnFormula>VLOOKUP(Úsporná_opatření[[#This Row],[Opatření podrobně]],Potenciál_opatření!$A$1:$C$191,3,0)</calculatedColumnFormula>
    </tableColumn>
    <tableColumn id="16" name="Investice" dataDxfId="35" totalsRowDxfId="34" dataCellStyle="Procenta">
      <calculatedColumnFormula>Úsporná_opatření[[#This Row],[Potenciál úspor energie v TJ]]*Úsporná_opatření[[#This Row],[Investice '[Kč/GJ']]]*1000</calculatedColumnFormula>
    </tableColumn>
    <tableColumn id="17" name="Dotace" dataDxfId="33" totalsRowDxfId="32" dataCellStyle="Procenta">
      <calculatedColumnFormula>Úsporná_opatření[[#This Row],[Podíl dotace '[%']]]*Úsporná_opatření[[#This Row],[Investice]]</calculatedColumnFormula>
    </tableColumn>
    <tableColumn id="4" name="Návratnost bez dotace [r]" dataDxfId="31" totalsRowDxfId="30"/>
    <tableColumn id="5" name="Potenciál úspor energie v TJ" dataDxfId="29" totalsRowDxfId="28">
      <calculatedColumnFormula>VLOOKUP(Úsporná_opatření[[#This Row],[Opatření podrobně]],Potenciál_opatření!$A$1:$C$191,2,0)</calculatedColumnFormula>
    </tableColumn>
    <tableColumn id="6" name="Životnost [r]" dataDxfId="27" totalsRowDxfId="26"/>
    <tableColumn id="7" name="Šetřený nositel energie" dataDxfId="25" totalsRowDxfId="24"/>
    <tableColumn id="8" name="Nejpodobnější sektor" dataDxfId="23" totalsRowDxfId="22"/>
    <tableColumn id="20" name="Úspora emisí CO2 [t]" dataDxfId="21" totalsRowDxfId="20">
      <calculatedColumnFormula>Úsporná_opatření[[#This Row],[Potenciál úspor energie v TJ]]*Úsporná_opatření[[#This Row],[Emisní koeficient CO2 '[kg/GJ']]]</calculatedColumnFormula>
    </tableColumn>
    <tableColumn id="19" name="Úspora emisí CH4 [kg]" dataDxfId="19" totalsRowDxfId="18">
      <calculatedColumnFormula>Úsporná_opatření[[#This Row],[Potenciál úspor energie v TJ]]*Úsporná_opatření[[#This Row],[Emisní koeficient CH4 '[g/GJ']]]</calculatedColumnFormula>
    </tableColumn>
    <tableColumn id="18" name="Úspora emisí N2O [kg]" dataDxfId="17" totalsRowDxfId="16">
      <calculatedColumnFormula>Úsporná_opatření[[#This Row],[Potenciál úspor energie v TJ]]*Úsporná_opatření[[#This Row],[Emisní koeficient N2O '[g/GJ']]]</calculatedColumnFormula>
    </tableColumn>
    <tableColumn id="21" name="Úspora emisí CO2eq [t]" dataDxfId="15" totalsRowDxfId="14">
      <calculatedColumnFormula>Úsporná_opatření[[#This Row],[Potenciál úspor energie v TJ]]*Úsporná_opatření[[#This Row],[Emisní koeficient CO2 eq '[kg/GJ']]]</calculatedColumnFormula>
    </tableColumn>
    <tableColumn id="9" name="Emisní koeficient CO2 [kg/GJ]" dataDxfId="13" totalsRowDxfId="12">
      <calculatedColumnFormula>VLOOKUP(Úsporná_opatření[[#This Row],[Šetřený nositel energie]] &amp; "#" &amp; Úsporná_opatření[[#This Row],[Nejpodobnější sektor]],Emiskoef,2,FALSE)</calculatedColumnFormula>
    </tableColumn>
    <tableColumn id="10" name="Emisní koeficient CH4 [g/GJ]" dataDxfId="11" totalsRowDxfId="10">
      <calculatedColumnFormula>VLOOKUP(Úsporná_opatření[[#This Row],[Šetřený nositel energie]] &amp; "#" &amp; Úsporná_opatření[[#This Row],[Nejpodobnější sektor]],Emiskoef,3,FALSE)</calculatedColumnFormula>
    </tableColumn>
    <tableColumn id="11" name="Emisní koeficient N2O [g/GJ]" dataDxfId="9" totalsRowDxfId="8">
      <calculatedColumnFormula>VLOOKUP(Úsporná_opatření[[#This Row],[Šetřený nositel energie]] &amp; "#" &amp; Úsporná_opatření[[#This Row],[Nejpodobnější sektor]],Emiskoef,4,FALSE)</calculatedColumnFormula>
    </tableColumn>
    <tableColumn id="12" name="Emisní koeficient CO2 eq [kg/GJ]" dataDxfId="7" totalsRowDxfId="6">
      <calculatedColumnFormula>Úsporná_opatření[[#This Row],[Emisní koeficient CO2 '[kg/GJ']]]+0.025*Úsporná_opatření[[#This Row],[Emisní koeficient CH4 '[g/GJ']]]+0.298*Úsporná_opatření[[#This Row],[Emisní koeficient N2O '[g/GJ']]]</calculatedColumnFormula>
    </tableColumn>
    <tableColumn id="15" name="Investice [Kč/t CO2 eq]" dataDxfId="5" totalsRowDxfId="4">
      <calculatedColumnFormula>1000*Úsporná_opatření[[#This Row],[Investice '[Kč/GJ']]]/Úsporná_opatření[[#This Row],[Emisní koeficient CO2 eq '[kg/GJ']]]</calculatedColumnFormula>
    </tableColumn>
    <tableColumn id="23" name="Typ" dataDxfId="3" totalsRow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Energetická_úsporná_opatření" displayName="Energetická_úsporná_opatření" ref="A1:A39" totalsRowShown="0">
  <autoFilter ref="A1:A39"/>
  <sortState ref="A2:A44">
    <sortCondition ref="A1:A44"/>
  </sortState>
  <tableColumns count="1">
    <tableColumn id="1" name="Seznam energetických úsporných opatření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Šetřené_nositele_energie" displayName="Šetřené_nositele_energie" ref="C1:C13" totalsRowShown="0">
  <autoFilter ref="C1:C13"/>
  <sortState ref="C2:C13">
    <sortCondition ref="C1:C13"/>
  </sortState>
  <tableColumns count="1">
    <tableColumn id="1" name="Šetřené nositele energi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NIR_sektory_pro_úspory_energie" displayName="NIR_sektory_pro_úspory_energie" ref="E1:E22" totalsRowShown="0">
  <autoFilter ref="E1:E22"/>
  <sortState ref="E2:E22">
    <sortCondition ref="E1:E22"/>
  </sortState>
  <tableColumns count="1">
    <tableColumn id="1" name="NIR sektory pro úspory energi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Základní_sektory" displayName="Základní_sektory" ref="G1:G8" totalsRowShown="0" dataDxfId="1">
  <autoFilter ref="G1:G8"/>
  <sortState ref="G2:G8">
    <sortCondition ref="G1:G8"/>
  </sortState>
  <tableColumns count="1">
    <tableColumn id="1" name="Základní sektor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tabSelected="1" zoomScale="85" zoomScaleNormal="85" workbookViewId="0"/>
  </sheetViews>
  <sheetFormatPr defaultRowHeight="15" x14ac:dyDescent="0.25"/>
  <cols>
    <col min="1" max="1" width="37.28515625" customWidth="1"/>
    <col min="2" max="2" width="56.28515625" customWidth="1"/>
    <col min="3" max="3" width="8.7109375" customWidth="1"/>
    <col min="4" max="4" width="10.85546875" bestFit="1" customWidth="1"/>
    <col min="9" max="9" width="18.5703125" bestFit="1" customWidth="1"/>
    <col min="11" max="11" width="18.5703125" bestFit="1" customWidth="1"/>
    <col min="12" max="12" width="12.5703125" hidden="1" customWidth="1"/>
    <col min="13" max="13" width="12.7109375" hidden="1" customWidth="1"/>
    <col min="14" max="15" width="13.85546875" hidden="1" customWidth="1"/>
    <col min="16" max="16" width="0" hidden="1" customWidth="1"/>
    <col min="17" max="17" width="10.42578125" hidden="1" customWidth="1"/>
    <col min="18" max="19" width="12.7109375" hidden="1" customWidth="1"/>
    <col min="20" max="20" width="11.28515625" hidden="1" customWidth="1"/>
    <col min="21" max="21" width="12.7109375" hidden="1" customWidth="1"/>
  </cols>
  <sheetData>
    <row r="1" spans="1:21" x14ac:dyDescent="0.25">
      <c r="A1" s="43" t="s">
        <v>286</v>
      </c>
      <c r="B1" s="58" t="s">
        <v>366</v>
      </c>
      <c r="C1" s="23"/>
      <c r="L1" t="s">
        <v>358</v>
      </c>
      <c r="M1" s="2">
        <v>0.1</v>
      </c>
    </row>
    <row r="2" spans="1:21" x14ac:dyDescent="0.25">
      <c r="A2" s="44"/>
      <c r="B2" s="42"/>
      <c r="C2" s="24"/>
    </row>
    <row r="3" spans="1:21" ht="15.75" thickBot="1" x14ac:dyDescent="0.3">
      <c r="A3" s="45" t="s">
        <v>292</v>
      </c>
      <c r="B3" s="59">
        <v>23.1</v>
      </c>
      <c r="C3" s="25" t="s">
        <v>293</v>
      </c>
    </row>
    <row r="4" spans="1:21" ht="15.75" thickBot="1" x14ac:dyDescent="0.3">
      <c r="A4" s="38"/>
      <c r="B4" s="17"/>
      <c r="C4" s="17"/>
      <c r="G4" s="2"/>
    </row>
    <row r="5" spans="1:21" ht="15.75" thickBot="1" x14ac:dyDescent="0.3">
      <c r="A5" s="39" t="s">
        <v>305</v>
      </c>
      <c r="B5" s="40"/>
      <c r="C5" s="41"/>
    </row>
    <row r="6" spans="1:21" ht="15.75" thickBot="1" x14ac:dyDescent="0.3">
      <c r="A6" s="17"/>
      <c r="B6" s="17"/>
      <c r="C6" s="17"/>
    </row>
    <row r="7" spans="1:21" x14ac:dyDescent="0.25">
      <c r="A7" s="43" t="s">
        <v>287</v>
      </c>
      <c r="B7" s="60" t="s">
        <v>69</v>
      </c>
      <c r="C7" s="23"/>
      <c r="D7" s="22" t="str">
        <f>IF(D8=TRUE,"Zadejte jinou kombinaci sektoru a opatření","")</f>
        <v/>
      </c>
      <c r="M7" s="1" t="s">
        <v>351</v>
      </c>
      <c r="N7" s="1" t="s">
        <v>352</v>
      </c>
      <c r="O7" s="1" t="s">
        <v>353</v>
      </c>
      <c r="P7" s="10"/>
      <c r="R7" s="1"/>
      <c r="S7" s="1"/>
      <c r="T7" s="1"/>
      <c r="U7" s="1"/>
    </row>
    <row r="8" spans="1:21" x14ac:dyDescent="0.25">
      <c r="A8" s="49" t="s">
        <v>35</v>
      </c>
      <c r="B8" s="61" t="s">
        <v>8</v>
      </c>
      <c r="C8" s="24"/>
      <c r="D8" s="21" t="b">
        <f>ISERROR(VLOOKUP(CONCATENATE(B8,B7),Úsporná_opatření[[Sloupec1]:[Investice '[Kč/GJ']]],2,0))</f>
        <v>0</v>
      </c>
      <c r="L8" t="s">
        <v>354</v>
      </c>
      <c r="M8" s="55">
        <f>SUMIFS(Úsporná_opatření[Investice '[Kč/GJ']],Úsporná_opatření[Sektor],$B8,Úsporná_opatření[Opatření],$B7,Úsporná_opatření[Typ],M$7,Úsporná_opatření[Podíl dotace '[%']],"&gt;0")</f>
        <v>8834.3194001226166</v>
      </c>
      <c r="N8" s="55">
        <f>SUMIFS(Úsporná_opatření[Investice '[Kč/GJ']],Úsporná_opatření[Sektor],$B8,Úsporná_opatření[Opatření],$B7,Úsporná_opatření[Typ],N$7,Úsporná_opatření[Podíl dotace '[%']],"&gt;0")</f>
        <v>10566.212147412216</v>
      </c>
      <c r="O8" s="55">
        <f>SUMIFS(Úsporná_opatření[Investice '[Kč/GJ']],Úsporná_opatření[Sektor],$B8,Úsporná_opatření[Opatření],$B7,Úsporná_opatření[Typ],O$7,Úsporná_opatření[Podíl dotace '[%']],"&gt;0")</f>
        <v>14509.912544081661</v>
      </c>
      <c r="P8" s="10"/>
      <c r="R8" s="2"/>
    </row>
    <row r="9" spans="1:21" x14ac:dyDescent="0.25">
      <c r="A9" s="50" t="s">
        <v>310</v>
      </c>
      <c r="B9" s="62">
        <v>0.6</v>
      </c>
      <c r="C9" s="24"/>
      <c r="D9" s="14" t="str">
        <f>IF(($B$9+$B$22+$B$35+$B$48+$B$74+$B$61+$B$87+$B$100+$B$113+$B$126)&lt;&gt;1,"Podíly na alokaci programu není v součtu 100%","")</f>
        <v/>
      </c>
      <c r="L9" t="s">
        <v>355</v>
      </c>
      <c r="M9" s="56">
        <f>SUMIFS(Úsporná_opatření[Podíl dotace '[%']],Úsporná_opatření[Sektor],$B8,Úsporná_opatření[Opatření],$B7,Úsporná_opatření[Typ],M$7,Úsporná_opatření[Podíl dotace '[%']],"&gt;0")</f>
        <v>0.2</v>
      </c>
      <c r="N9" s="56">
        <f>SUMIFS(Úsporná_opatření[Podíl dotace '[%']],Úsporná_opatření[Sektor],$B8,Úsporná_opatření[Opatření],$B7,Úsporná_opatření[Typ],N$7,Úsporná_opatření[Podíl dotace '[%']],"&gt;0")</f>
        <v>0.4</v>
      </c>
      <c r="O9" s="56">
        <f>SUMIFS(Úsporná_opatření[Podíl dotace '[%']],Úsporná_opatření[Sektor],$B8,Úsporná_opatření[Opatření],$B7,Úsporná_opatření[Typ],O$7,Úsporná_opatření[Podíl dotace '[%']],"&gt;0")</f>
        <v>0.7</v>
      </c>
      <c r="P9" s="10"/>
      <c r="R9" s="1" t="s">
        <v>351</v>
      </c>
      <c r="S9" s="1" t="s">
        <v>352</v>
      </c>
      <c r="T9" s="1" t="s">
        <v>353</v>
      </c>
      <c r="U9" s="1" t="s">
        <v>363</v>
      </c>
    </row>
    <row r="10" spans="1:21" x14ac:dyDescent="0.25">
      <c r="A10" s="50"/>
      <c r="B10" s="57">
        <f>B9*$B$3</f>
        <v>13.860000000000001</v>
      </c>
      <c r="C10" s="24" t="s">
        <v>293</v>
      </c>
      <c r="P10" s="10"/>
      <c r="Q10" t="s">
        <v>365</v>
      </c>
      <c r="R10" s="56">
        <f>IF($B11&lt;=M9-Tolerance,0,IF($B11&gt;=M9+Tolerance,1,($B11-(M9-Tolerance))/(2*Tolerance)))</f>
        <v>1</v>
      </c>
      <c r="S10" s="56">
        <f>IF($B11&lt;=N9-Tolerance,0,IF($B11&gt;=N9+Tolerance,1,($B11-(N9-Tolerance))/(2*Tolerance)))</f>
        <v>0.29999999999999971</v>
      </c>
      <c r="T10" s="56">
        <f>IF($B11&lt;=O9-Tolerance,0,IF($B11&gt;=O9+Tolerance,1,($B11-(O9-Tolerance))/(2*Tolerance)))</f>
        <v>0</v>
      </c>
    </row>
    <row r="11" spans="1:21" x14ac:dyDescent="0.25">
      <c r="A11" s="50" t="s">
        <v>297</v>
      </c>
      <c r="B11" s="62">
        <v>0.36</v>
      </c>
      <c r="C11" s="24"/>
      <c r="D11" s="14" t="str">
        <f>IF(B12=0,"Podíl dotace na investičních výdajích je příliš nízký","")</f>
        <v/>
      </c>
    </row>
    <row r="12" spans="1:21" x14ac:dyDescent="0.25">
      <c r="A12" s="50" t="s">
        <v>313</v>
      </c>
      <c r="B12" s="63">
        <f>U12/1000000000</f>
        <v>11.332642616487076</v>
      </c>
      <c r="C12" s="24" t="s">
        <v>293</v>
      </c>
      <c r="D12" s="14" t="str">
        <f>IF(B12&lt;B10-Tolerance,"Alokace nebude pravděpodobně vyčerpána",IF(B12&gt;B10+Tolerance,"Alokace bude pravděpodobně přečerpána","Alokace bude pravděpodobně vyčerpána"))</f>
        <v>Alokace nebude pravděpodobně vyčerpána</v>
      </c>
      <c r="E12" s="14"/>
      <c r="J12" s="2"/>
      <c r="K12" s="10"/>
      <c r="L12" t="s">
        <v>364</v>
      </c>
      <c r="M12" s="55">
        <f>SUMIFS(Úsporná_opatření[Dotace],Úsporná_opatření[Sektor],$B8,Úsporná_opatření[Opatření],$B7,Úsporná_opatření[Typ],M$7,Úsporná_opatření[Podíl dotace '[%']],"&gt;0")</f>
        <v>4653585402.0052557</v>
      </c>
      <c r="N12" s="55">
        <f>SUMIFS(Úsporná_opatření[Dotace],Úsporná_opatření[Sektor],$B8,Úsporná_opatření[Opatření],$B7,Úsporná_opatření[Typ],N$7,Úsporná_opatření[Podíl dotace '[%']],"&gt;0")</f>
        <v>22263524048.272751</v>
      </c>
      <c r="O12" s="55">
        <f>SUMIFS(Úsporná_opatření[Dotace],Úsporná_opatření[Sektor],$B8,Úsporná_opatření[Opatření],$B7,Úsporná_opatření[Typ],O$7,Úsporná_opatření[Podíl dotace '[%']],"&gt;0")</f>
        <v>26751456393.461338</v>
      </c>
      <c r="Q12" t="s">
        <v>364</v>
      </c>
      <c r="R12" s="55">
        <f>R10*M12</f>
        <v>4653585402.0052557</v>
      </c>
      <c r="S12" s="55">
        <f>S10*N12</f>
        <v>6679057214.4818192</v>
      </c>
      <c r="T12" s="55">
        <f>T10*O12</f>
        <v>0</v>
      </c>
      <c r="U12" s="55">
        <f>SUM(R12:T12)</f>
        <v>11332642616.487076</v>
      </c>
    </row>
    <row r="13" spans="1:21" ht="30" customHeight="1" x14ac:dyDescent="0.25">
      <c r="A13" s="51" t="s">
        <v>323</v>
      </c>
      <c r="B13" s="46">
        <f>U13/1000000000</f>
        <v>39.965570046230823</v>
      </c>
      <c r="C13" s="24" t="s">
        <v>293</v>
      </c>
      <c r="D13" s="14"/>
      <c r="E13" s="14"/>
      <c r="L13" t="s">
        <v>357</v>
      </c>
      <c r="M13" s="55">
        <f>SUMIFS(Úsporná_opatření[Investice],Úsporná_opatření[Sektor],$B8,Úsporná_opatření[Opatření],$B7,Úsporná_opatření[Typ],M$7,Úsporná_opatření[Podíl dotace '[%']],"&gt;0")</f>
        <v>23267927010.026276</v>
      </c>
      <c r="N13" s="55">
        <f>SUMIFS(Úsporná_opatření[Investice],Úsporná_opatření[Sektor],$B8,Úsporná_opatření[Opatření],$B7,Úsporná_opatření[Typ],N$7,Úsporná_opatření[Podíl dotace '[%']],"&gt;0")</f>
        <v>55658810120.681877</v>
      </c>
      <c r="O13" s="55">
        <f>SUMIFS(Úsporná_opatření[Investice],Úsporná_opatření[Sektor],$B8,Úsporná_opatření[Opatření],$B7,Úsporná_opatření[Typ],O$7,Úsporná_opatření[Podíl dotace '[%']],"&gt;0")</f>
        <v>38216366276.373344</v>
      </c>
      <c r="P13" s="10"/>
      <c r="Q13" t="s">
        <v>357</v>
      </c>
      <c r="R13" s="55">
        <f>M13*R10</f>
        <v>23267927010.026276</v>
      </c>
      <c r="S13" s="55">
        <f>N13*S10</f>
        <v>16697643036.204548</v>
      </c>
      <c r="T13" s="55">
        <f>O13*T10</f>
        <v>0</v>
      </c>
      <c r="U13" s="55">
        <f>SUM(R13:T13)</f>
        <v>39965570046.23082</v>
      </c>
    </row>
    <row r="14" spans="1:21" x14ac:dyDescent="0.25">
      <c r="A14" s="50" t="s">
        <v>294</v>
      </c>
      <c r="B14" s="46">
        <f>U14/1000*0.7</f>
        <v>2.9498682434854819</v>
      </c>
      <c r="C14" s="24" t="s">
        <v>298</v>
      </c>
      <c r="I14" s="15"/>
      <c r="L14" t="s">
        <v>356</v>
      </c>
      <c r="M14" s="55">
        <f>SUMIFS(Úsporná_opatření[Potenciál úspor energie v TJ],Úsporná_opatření[Sektor],$B8,Úsporná_opatření[Opatření],$B7,Úsporná_opatření[Typ],M$7,Úsporná_opatření[Podíl dotace '[%']],"&gt;0")</f>
        <v>2633.8109316834671</v>
      </c>
      <c r="N14" s="55">
        <f>SUMIFS(Úsporná_opatření[Potenciál úspor energie v TJ],Úsporná_opatření[Sektor],$B8,Úsporná_opatření[Opatření],$B7,Úsporná_opatření[Typ],N$7,Úsporná_opatření[Podíl dotace '[%']],"&gt;0")</f>
        <v>5267.6218633669341</v>
      </c>
      <c r="O14" s="55">
        <f>SUMIFS(Úsporná_opatření[Potenciál úspor energie v TJ],Úsporná_opatření[Sektor],$B8,Úsporná_opatření[Opatření],$B7,Úsporná_opatření[Typ],O$7,Úsporná_opatření[Podíl dotace '[%']],"&gt;0")</f>
        <v>2633.8109316834671</v>
      </c>
      <c r="Q14" t="s">
        <v>356</v>
      </c>
      <c r="R14" s="55">
        <f>R10*M14</f>
        <v>2633.8109316834671</v>
      </c>
      <c r="S14" s="55">
        <f t="shared" ref="S14:T14" si="0">S10*N14</f>
        <v>1580.2865590100787</v>
      </c>
      <c r="T14" s="55">
        <f t="shared" si="0"/>
        <v>0</v>
      </c>
      <c r="U14" s="55">
        <f>SUM(R14:T14)</f>
        <v>4214.0974906935462</v>
      </c>
    </row>
    <row r="15" spans="1:21" ht="18" x14ac:dyDescent="0.35">
      <c r="A15" s="50" t="s">
        <v>309</v>
      </c>
      <c r="B15" s="47">
        <f>U15*0.7</f>
        <v>225166.75145241991</v>
      </c>
      <c r="C15" s="24" t="s">
        <v>303</v>
      </c>
      <c r="L15" t="s">
        <v>359</v>
      </c>
      <c r="M15" s="55">
        <f>SUMIFS(Úsporná_opatření[Úspora emisí CO2 '[t']],Úsporná_opatření[Sektor],$B8,Úsporná_opatření[Opatření],$B7,Úsporná_opatření[Typ],M$7,Úsporná_opatření[Podíl dotace '[%']],"&gt;0")</f>
        <v>201041.74236823217</v>
      </c>
      <c r="N15" s="55">
        <f>SUMIFS(Úsporná_opatření[Úspora emisí CO2 '[t']],Úsporná_opatření[Sektor],$B8,Úsporná_opatření[Opatření],$B7,Úsporná_opatření[Typ],N$7,Úsporná_opatření[Podíl dotace '[%']],"&gt;0")</f>
        <v>402083.48473646434</v>
      </c>
      <c r="O15" s="55">
        <f>SUMIFS(Úsporná_opatření[Úspora emisí CO2 '[t']],Úsporná_opatření[Sektor],$B8,Úsporná_opatření[Opatření],$B7,Úsporná_opatření[Typ],O$7,Úsporná_opatření[Podíl dotace '[%']],"&gt;0")</f>
        <v>201041.74236823217</v>
      </c>
      <c r="P15" s="10"/>
      <c r="Q15" t="s">
        <v>359</v>
      </c>
      <c r="R15" s="55">
        <f>R10*M15</f>
        <v>201041.74236823217</v>
      </c>
      <c r="S15" s="55">
        <f>S10*N15</f>
        <v>120625.04542093919</v>
      </c>
      <c r="T15" s="55">
        <f>T10*O15</f>
        <v>0</v>
      </c>
      <c r="U15" s="55">
        <f>SUM(R15:T15)</f>
        <v>321666.78778917133</v>
      </c>
    </row>
    <row r="16" spans="1:21" ht="18" x14ac:dyDescent="0.35">
      <c r="A16" s="50" t="s">
        <v>308</v>
      </c>
      <c r="B16" s="47">
        <f t="shared" ref="B16:B18" si="1">U16*0.7</f>
        <v>22069.119420296734</v>
      </c>
      <c r="C16" s="24" t="s">
        <v>299</v>
      </c>
      <c r="I16" s="10"/>
      <c r="L16" t="s">
        <v>360</v>
      </c>
      <c r="M16" s="55">
        <f>SUMIFS(Úsporná_opatření[Úspora emisí CH4 '[kg']],Úsporná_opatření[Sektor],$B8,Úsporná_opatření[Opatření],$B7,Úsporná_opatření[Typ],M$7,Úsporná_opatření[Podíl dotace '[%']],"&gt;0")</f>
        <v>19704.570910979233</v>
      </c>
      <c r="N16" s="55">
        <f>SUMIFS(Úsporná_opatření[Úspora emisí CH4 '[kg']],Úsporná_opatření[Sektor],$B8,Úsporná_opatření[Opatření],$B7,Úsporná_opatření[Typ],N$7,Úsporná_opatření[Podíl dotace '[%']],"&gt;0")</f>
        <v>39409.141821958467</v>
      </c>
      <c r="O16" s="55">
        <f>SUMIFS(Úsporná_opatření[Úspora emisí CH4 '[kg']],Úsporná_opatření[Sektor],$B8,Úsporná_opatření[Opatření],$B7,Úsporná_opatření[Typ],O$7,Úsporná_opatření[Podíl dotace '[%']],"&gt;0")</f>
        <v>19704.570910979233</v>
      </c>
      <c r="P16" s="10"/>
      <c r="Q16" t="s">
        <v>360</v>
      </c>
      <c r="R16" s="55">
        <f>R10*M16</f>
        <v>19704.570910979233</v>
      </c>
      <c r="S16" s="55">
        <f>S10*N16</f>
        <v>11822.742546587529</v>
      </c>
      <c r="T16" s="55">
        <f>T10*O16</f>
        <v>0</v>
      </c>
      <c r="U16" s="55">
        <f t="shared" ref="U16:U18" si="2">SUM(R16:T16)</f>
        <v>31527.313457566765</v>
      </c>
    </row>
    <row r="17" spans="1:21" ht="18" x14ac:dyDescent="0.35">
      <c r="A17" s="50" t="s">
        <v>307</v>
      </c>
      <c r="B17" s="47">
        <f t="shared" si="1"/>
        <v>2220.3888883724253</v>
      </c>
      <c r="C17" s="24" t="s">
        <v>299</v>
      </c>
      <c r="L17" t="s">
        <v>361</v>
      </c>
      <c r="M17" s="55">
        <f>SUMIFS(Úsporná_opatření[Úspora emisí N2O '[kg']],Úsporná_opatření[Sektor],$B8,Úsporná_opatření[Opatření],$B7,Úsporná_opatření[Typ],M$7,Úsporná_opatření[Podíl dotace '[%']],"&gt;0")</f>
        <v>1982.4900789039521</v>
      </c>
      <c r="N17" s="55">
        <f>SUMIFS(Úsporná_opatření[Úspora emisí N2O '[kg']],Úsporná_opatření[Sektor],$B8,Úsporná_opatření[Opatření],$B7,Úsporná_opatření[Typ],N$7,Úsporná_opatření[Podíl dotace '[%']],"&gt;0")</f>
        <v>3964.9801578079041</v>
      </c>
      <c r="O17" s="55">
        <f>SUMIFS(Úsporná_opatření[Úspora emisí N2O '[kg']],Úsporná_opatření[Sektor],$B8,Úsporná_opatření[Opatření],$B7,Úsporná_opatření[Typ],O$7,Úsporná_opatření[Podíl dotace '[%']],"&gt;0")</f>
        <v>1982.4900789039521</v>
      </c>
      <c r="P17" s="10"/>
      <c r="Q17" t="s">
        <v>361</v>
      </c>
      <c r="R17" s="55">
        <f>R10*M17</f>
        <v>1982.4900789039521</v>
      </c>
      <c r="S17" s="55">
        <f>S10*N17</f>
        <v>1189.4940473423701</v>
      </c>
      <c r="T17" s="55">
        <f>T10*O17</f>
        <v>0</v>
      </c>
      <c r="U17" s="55">
        <f t="shared" si="2"/>
        <v>3171.9841262463224</v>
      </c>
    </row>
    <row r="18" spans="1:21" ht="18.75" thickBot="1" x14ac:dyDescent="0.4">
      <c r="A18" s="52" t="s">
        <v>306</v>
      </c>
      <c r="B18" s="48">
        <f t="shared" si="1"/>
        <v>226380.15532666232</v>
      </c>
      <c r="C18" s="25" t="s">
        <v>303</v>
      </c>
      <c r="L18" t="s">
        <v>362</v>
      </c>
      <c r="M18" s="55">
        <f>SUMIFS(Úsporná_opatření[Úspora emisí CO2eq '[t']],Úsporná_opatření[Sektor],$B8,Úsporná_opatření[Opatření],$B7,Úsporná_opatření[Typ],M$7,Úsporná_opatření[Podíl dotace '[%']],"&gt;0")</f>
        <v>202125.13868452003</v>
      </c>
      <c r="N18" s="55">
        <f>SUMIFS(Úsporná_opatření[Úspora emisí CO2eq '[t']],Úsporná_opatření[Sektor],$B8,Úsporná_opatření[Opatření],$B7,Úsporná_opatření[Typ],N$7,Úsporná_opatření[Podíl dotace '[%']],"&gt;0")</f>
        <v>404250.27736904006</v>
      </c>
      <c r="O18" s="55">
        <f>SUMIFS(Úsporná_opatření[Úspora emisí CO2eq '[t']],Úsporná_opatření[Sektor],$B8,Úsporná_opatření[Opatření],$B7,Úsporná_opatření[Typ],O$7,Úsporná_opatření[Podíl dotace '[%']],"&gt;0")</f>
        <v>202125.13868452003</v>
      </c>
      <c r="P18" s="10"/>
      <c r="Q18" t="s">
        <v>362</v>
      </c>
      <c r="R18" s="55">
        <f>R10*M18</f>
        <v>202125.13868452003</v>
      </c>
      <c r="S18" s="55">
        <f>S10*N18</f>
        <v>121275.08321071191</v>
      </c>
      <c r="T18" s="55">
        <f>T10*O18</f>
        <v>0</v>
      </c>
      <c r="U18" s="55">
        <f t="shared" si="2"/>
        <v>323400.22189523192</v>
      </c>
    </row>
    <row r="19" spans="1:21" ht="15.75" thickBot="1" x14ac:dyDescent="0.3"/>
    <row r="20" spans="1:21" x14ac:dyDescent="0.25">
      <c r="A20" s="43" t="s">
        <v>288</v>
      </c>
      <c r="B20" s="60" t="s">
        <v>71</v>
      </c>
      <c r="C20" s="23"/>
      <c r="D20" s="22" t="str">
        <f>IF(D21=TRUE,"Zadejte jinou kombinaci sektoru a opatření","")</f>
        <v/>
      </c>
      <c r="M20" s="1" t="s">
        <v>351</v>
      </c>
      <c r="N20" s="1" t="s">
        <v>352</v>
      </c>
      <c r="O20" s="1" t="s">
        <v>353</v>
      </c>
      <c r="P20" s="10"/>
      <c r="R20" s="1"/>
      <c r="S20" s="1"/>
      <c r="T20" s="1"/>
      <c r="U20" s="1"/>
    </row>
    <row r="21" spans="1:21" x14ac:dyDescent="0.25">
      <c r="A21" s="49" t="s">
        <v>35</v>
      </c>
      <c r="B21" s="61" t="s">
        <v>8</v>
      </c>
      <c r="C21" s="24"/>
      <c r="D21" s="21" t="b">
        <f>ISERROR(VLOOKUP(CONCATENATE(B21,B20),Úsporná_opatření[[Sloupec1]:[Investice '[Kč/GJ']]],2,0))</f>
        <v>0</v>
      </c>
      <c r="L21" t="s">
        <v>354</v>
      </c>
      <c r="M21" s="55">
        <f>SUMIFS(Úsporná_opatření[Investice '[Kč/GJ']],Úsporná_opatření[Sektor],$B21,Úsporná_opatření[Opatření],$B20,Úsporná_opatření[Typ],M$7,Úsporná_opatření[Podíl dotace '[%']],"&gt;0")</f>
        <v>0</v>
      </c>
      <c r="N21" s="55">
        <f>SUMIFS(Úsporná_opatření[Investice '[Kč/GJ']],Úsporná_opatření[Sektor],$B21,Úsporná_opatření[Opatření],$B20,Úsporná_opatření[Typ],N$7,Úsporná_opatření[Podíl dotace '[%']],"&gt;0")</f>
        <v>5997.7176457952955</v>
      </c>
      <c r="O21" s="55">
        <f>SUMIFS(Úsporná_opatření[Investice '[Kč/GJ']],Úsporná_opatření[Sektor],$B21,Úsporná_opatření[Opatření],$B20,Úsporná_opatření[Typ],O$7,Úsporná_opatření[Podíl dotace '[%']],"&gt;0")</f>
        <v>0</v>
      </c>
      <c r="P21" s="10"/>
      <c r="R21" s="2"/>
    </row>
    <row r="22" spans="1:21" x14ac:dyDescent="0.25">
      <c r="A22" s="50" t="s">
        <v>310</v>
      </c>
      <c r="B22" s="62">
        <v>0.05</v>
      </c>
      <c r="C22" s="24"/>
      <c r="D22" s="14" t="str">
        <f>IF(($B$9+$B$22+$B$35+$B$48+$B$74+$B$61+$B$87+$B$100+$B$113+$B$126)&lt;&gt;1,"Podíly na alokaci programu není v součtu 100%","")</f>
        <v/>
      </c>
      <c r="L22" t="s">
        <v>355</v>
      </c>
      <c r="M22" s="56">
        <f>SUMIFS(Úsporná_opatření[Podíl dotace '[%']],Úsporná_opatření[Sektor],$B21,Úsporná_opatření[Opatření],$B20,Úsporná_opatření[Typ],M$7,Úsporná_opatření[Podíl dotace '[%']],"&gt;0")</f>
        <v>0</v>
      </c>
      <c r="N22" s="56">
        <f>SUMIFS(Úsporná_opatření[Podíl dotace '[%']],Úsporná_opatření[Sektor],$B21,Úsporná_opatření[Opatření],$B20,Úsporná_opatření[Typ],N$7,Úsporná_opatření[Podíl dotace '[%']],"&gt;0")</f>
        <v>0.2</v>
      </c>
      <c r="O22" s="56">
        <f>SUMIFS(Úsporná_opatření[Podíl dotace '[%']],Úsporná_opatření[Sektor],$B21,Úsporná_opatření[Opatření],$B20,Úsporná_opatření[Typ],O$7,Úsporná_opatření[Podíl dotace '[%']],"&gt;0")</f>
        <v>0</v>
      </c>
      <c r="P22" s="10"/>
      <c r="R22" s="1" t="s">
        <v>351</v>
      </c>
      <c r="S22" s="1" t="s">
        <v>352</v>
      </c>
      <c r="T22" s="1" t="s">
        <v>353</v>
      </c>
      <c r="U22" s="1" t="s">
        <v>363</v>
      </c>
    </row>
    <row r="23" spans="1:21" x14ac:dyDescent="0.25">
      <c r="A23" s="50"/>
      <c r="B23" s="57">
        <f>B22*$B$3</f>
        <v>1.155</v>
      </c>
      <c r="C23" s="24" t="s">
        <v>293</v>
      </c>
      <c r="P23" s="10"/>
      <c r="Q23" t="s">
        <v>365</v>
      </c>
      <c r="R23" s="56">
        <f>IF($B24&lt;=M22-Tolerance,0,IF($B24&gt;=M22+Tolerance,1,($B24-(M22-Tolerance))/(2*Tolerance)))</f>
        <v>1</v>
      </c>
      <c r="S23" s="56">
        <f>IF($B24&lt;=N22-Tolerance,0,IF($B24&gt;=N22+Tolerance,1,($B24-(N22-Tolerance))/(2*Tolerance)))</f>
        <v>1</v>
      </c>
      <c r="T23" s="56">
        <f>IF($B24&lt;=O22-Tolerance,0,IF($B24&gt;=O22+Tolerance,1,($B24-(O22-Tolerance))/(2*Tolerance)))</f>
        <v>1</v>
      </c>
    </row>
    <row r="24" spans="1:21" x14ac:dyDescent="0.25">
      <c r="A24" s="50" t="s">
        <v>297</v>
      </c>
      <c r="B24" s="62">
        <v>0.3</v>
      </c>
      <c r="C24" s="24"/>
      <c r="D24" s="14" t="str">
        <f>IF(B25=0,"Podíl dotace na investičních výdajích je příliš nízký","")</f>
        <v/>
      </c>
    </row>
    <row r="25" spans="1:21" x14ac:dyDescent="0.25">
      <c r="A25" s="50" t="s">
        <v>313</v>
      </c>
      <c r="B25" s="63">
        <f>U25/1000000000</f>
        <v>3.6880419803069314E-5</v>
      </c>
      <c r="C25" s="24" t="s">
        <v>293</v>
      </c>
      <c r="D25" s="14" t="str">
        <f>IF(B25&lt;B23-Tolerance,"Alokace nebude pravděpodobně vyčerpána",IF(B25&gt;B23+Tolerance,"Alokace bude pravděpodobně přečerpána","Alokace bude pravděpodobně vyčerpána"))</f>
        <v>Alokace nebude pravděpodobně vyčerpána</v>
      </c>
      <c r="E25" s="14"/>
      <c r="L25" t="s">
        <v>364</v>
      </c>
      <c r="M25" s="55">
        <f>SUMIFS(Úsporná_opatření[Dotace],Úsporná_opatření[Sektor],$B21,Úsporná_opatření[Opatření],$B20,Úsporná_opatření[Typ],M$7,Úsporná_opatření[Podíl dotace '[%']],"&gt;0")</f>
        <v>0</v>
      </c>
      <c r="N25" s="55">
        <f>SUMIFS(Úsporná_opatření[Dotace],Úsporná_opatření[Sektor],$B21,Úsporná_opatření[Opatření],$B20,Úsporná_opatření[Typ],N$7,Úsporná_opatření[Podíl dotace '[%']],"&gt;0")</f>
        <v>36880.419803069315</v>
      </c>
      <c r="O25" s="55">
        <f>SUMIFS(Úsporná_opatření[Dotace],Úsporná_opatření[Sektor],$B21,Úsporná_opatření[Opatření],$B20,Úsporná_opatření[Typ],O$7,Úsporná_opatření[Podíl dotace '[%']],"&gt;0")</f>
        <v>0</v>
      </c>
      <c r="Q25" t="s">
        <v>364</v>
      </c>
      <c r="R25" s="55">
        <f>R23*M25</f>
        <v>0</v>
      </c>
      <c r="S25" s="55">
        <f>S23*N25</f>
        <v>36880.419803069315</v>
      </c>
      <c r="T25" s="55">
        <f>T23*O25</f>
        <v>0</v>
      </c>
      <c r="U25" s="55">
        <f>SUM(R25:T25)</f>
        <v>36880.419803069315</v>
      </c>
    </row>
    <row r="26" spans="1:21" ht="30" x14ac:dyDescent="0.25">
      <c r="A26" s="51" t="s">
        <v>323</v>
      </c>
      <c r="B26" s="46">
        <f>U26/1000000000</f>
        <v>1.8440209901534658E-4</v>
      </c>
      <c r="C26" s="24" t="s">
        <v>293</v>
      </c>
      <c r="D26" s="14"/>
      <c r="E26" s="14"/>
      <c r="L26" t="s">
        <v>357</v>
      </c>
      <c r="M26" s="55">
        <f>SUMIFS(Úsporná_opatření[Investice],Úsporná_opatření[Sektor],$B21,Úsporná_opatření[Opatření],$B20,Úsporná_opatření[Typ],M$7,Úsporná_opatření[Podíl dotace '[%']],"&gt;0")</f>
        <v>0</v>
      </c>
      <c r="N26" s="55">
        <f>SUMIFS(Úsporná_opatření[Investice],Úsporná_opatření[Sektor],$B21,Úsporná_opatření[Opatření],$B20,Úsporná_opatření[Typ],N$7,Úsporná_opatření[Podíl dotace '[%']],"&gt;0")</f>
        <v>184402.09901534658</v>
      </c>
      <c r="O26" s="55">
        <f>SUMIFS(Úsporná_opatření[Investice],Úsporná_opatření[Sektor],$B21,Úsporná_opatření[Opatření],$B20,Úsporná_opatření[Typ],O$7,Úsporná_opatření[Podíl dotace '[%']],"&gt;0")</f>
        <v>0</v>
      </c>
      <c r="P26" s="10"/>
      <c r="Q26" t="s">
        <v>357</v>
      </c>
      <c r="R26" s="55">
        <f>M26*R23</f>
        <v>0</v>
      </c>
      <c r="S26" s="55">
        <f>N26*S23</f>
        <v>184402.09901534658</v>
      </c>
      <c r="T26" s="55">
        <f>O26*T23</f>
        <v>0</v>
      </c>
      <c r="U26" s="55">
        <f>SUM(R26:T26)</f>
        <v>184402.09901534658</v>
      </c>
    </row>
    <row r="27" spans="1:21" x14ac:dyDescent="0.25">
      <c r="A27" s="50" t="s">
        <v>294</v>
      </c>
      <c r="B27" s="46">
        <f>U27/1000*0.7</f>
        <v>2.1521764933571899E-2</v>
      </c>
      <c r="C27" s="24" t="s">
        <v>298</v>
      </c>
      <c r="L27" t="s">
        <v>356</v>
      </c>
      <c r="M27" s="55">
        <f>SUMIFS(Úsporná_opatření[Potenciál úspor energie v TJ],Úsporná_opatření[Sektor],$B21,Úsporná_opatření[Opatření],$B20,Úsporná_opatření[Typ],M$7,Úsporná_opatření[Podíl dotace '[%']],"&gt;0")</f>
        <v>0</v>
      </c>
      <c r="N27" s="55">
        <f>SUMIFS(Úsporná_opatření[Potenciál úspor energie v TJ],Úsporná_opatření[Sektor],$B21,Úsporná_opatření[Opatření],$B20,Úsporná_opatření[Typ],N$7,Úsporná_opatření[Podíl dotace '[%']],"&gt;0")</f>
        <v>30.745378476531286</v>
      </c>
      <c r="O27" s="55">
        <f>SUMIFS(Úsporná_opatření[Potenciál úspor energie v TJ],Úsporná_opatření[Sektor],$B21,Úsporná_opatření[Opatření],$B20,Úsporná_opatření[Typ],O$7,Úsporná_opatření[Podíl dotace '[%']],"&gt;0")</f>
        <v>0</v>
      </c>
      <c r="Q27" t="s">
        <v>356</v>
      </c>
      <c r="R27" s="55">
        <f>R23*M27</f>
        <v>0</v>
      </c>
      <c r="S27" s="55">
        <f t="shared" ref="S27" si="3">S23*N27</f>
        <v>30.745378476531286</v>
      </c>
      <c r="T27" s="55">
        <f t="shared" ref="T27" si="4">T23*O27</f>
        <v>0</v>
      </c>
      <c r="U27" s="55">
        <f>SUM(R27:T27)</f>
        <v>30.745378476531286</v>
      </c>
    </row>
    <row r="28" spans="1:21" ht="18" x14ac:dyDescent="0.35">
      <c r="A28" s="50" t="s">
        <v>309</v>
      </c>
      <c r="B28" s="47">
        <f>U28*0.7</f>
        <v>1222.9932696924341</v>
      </c>
      <c r="C28" s="24" t="s">
        <v>303</v>
      </c>
      <c r="L28" t="s">
        <v>359</v>
      </c>
      <c r="M28" s="55">
        <f>SUMIFS(Úsporná_opatření[Úspora emisí CO2 '[t']],Úsporná_opatření[Sektor],$B21,Úsporná_opatření[Opatření],$B20,Úsporná_opatření[Typ],M$7,Úsporná_opatření[Podíl dotace '[%']],"&gt;0")</f>
        <v>0</v>
      </c>
      <c r="N28" s="55">
        <f>SUMIFS(Úsporná_opatření[Úspora emisí CO2 '[t']],Úsporná_opatření[Sektor],$B21,Úsporná_opatření[Opatření],$B20,Úsporná_opatření[Typ],N$7,Úsporná_opatření[Podíl dotace '[%']],"&gt;0")</f>
        <v>1747.1332424177631</v>
      </c>
      <c r="O28" s="55">
        <f>SUMIFS(Úsporná_opatření[Úspora emisí CO2 '[t']],Úsporná_opatření[Sektor],$B21,Úsporná_opatření[Opatření],$B20,Úsporná_opatření[Typ],O$7,Úsporná_opatření[Podíl dotace '[%']],"&gt;0")</f>
        <v>0</v>
      </c>
      <c r="P28" s="10"/>
      <c r="Q28" t="s">
        <v>359</v>
      </c>
      <c r="R28" s="55">
        <f>R23*M28</f>
        <v>0</v>
      </c>
      <c r="S28" s="55">
        <f>S23*N28</f>
        <v>1747.1332424177631</v>
      </c>
      <c r="T28" s="55">
        <f>T23*O28</f>
        <v>0</v>
      </c>
      <c r="U28" s="55">
        <f>SUM(R28:T28)</f>
        <v>1747.1332424177631</v>
      </c>
    </row>
    <row r="29" spans="1:21" ht="18" x14ac:dyDescent="0.35">
      <c r="A29" s="50" t="s">
        <v>308</v>
      </c>
      <c r="B29" s="47">
        <f t="shared" ref="B29:B31" si="5">U29*0.7</f>
        <v>111.10882466785951</v>
      </c>
      <c r="C29" s="24" t="s">
        <v>299</v>
      </c>
      <c r="L29" t="s">
        <v>360</v>
      </c>
      <c r="M29" s="55">
        <f>SUMIFS(Úsporná_opatření[Úspora emisí CH4 '[kg']],Úsporná_opatření[Sektor],$B21,Úsporná_opatření[Opatření],$B20,Úsporná_opatření[Typ],M$7,Úsporná_opatření[Podíl dotace '[%']],"&gt;0")</f>
        <v>0</v>
      </c>
      <c r="N29" s="55">
        <f>SUMIFS(Úsporná_opatření[Úspora emisí CH4 '[kg']],Úsporná_opatření[Sektor],$B21,Úsporná_opatření[Opatření],$B20,Úsporná_opatření[Typ],N$7,Úsporná_opatření[Podíl dotace '[%']],"&gt;0")</f>
        <v>158.72689238265644</v>
      </c>
      <c r="O29" s="55">
        <f>SUMIFS(Úsporná_opatření[Úspora emisí CH4 '[kg']],Úsporná_opatření[Sektor],$B21,Úsporná_opatření[Opatření],$B20,Úsporná_opatření[Typ],O$7,Úsporná_opatření[Podíl dotace '[%']],"&gt;0")</f>
        <v>0</v>
      </c>
      <c r="P29" s="10"/>
      <c r="Q29" t="s">
        <v>360</v>
      </c>
      <c r="R29" s="55">
        <f>R23*M29</f>
        <v>0</v>
      </c>
      <c r="S29" s="55">
        <f>S23*N29</f>
        <v>158.72689238265644</v>
      </c>
      <c r="T29" s="55">
        <f>T23*O29</f>
        <v>0</v>
      </c>
      <c r="U29" s="55">
        <f t="shared" ref="U29:U31" si="6">SUM(R29:T29)</f>
        <v>158.72689238265644</v>
      </c>
    </row>
    <row r="30" spans="1:21" ht="18" x14ac:dyDescent="0.35">
      <c r="A30" s="50" t="s">
        <v>307</v>
      </c>
      <c r="B30" s="47">
        <f t="shared" si="5"/>
        <v>3.1321764933557321</v>
      </c>
      <c r="C30" s="24" t="s">
        <v>299</v>
      </c>
      <c r="L30" t="s">
        <v>361</v>
      </c>
      <c r="M30" s="55">
        <f>SUMIFS(Úsporná_opatření[Úspora emisí N2O '[kg']],Úsporná_opatření[Sektor],$B21,Úsporná_opatření[Opatření],$B20,Úsporná_opatření[Typ],M$7,Úsporná_opatření[Podíl dotace '[%']],"&gt;0")</f>
        <v>0</v>
      </c>
      <c r="N30" s="55">
        <f>SUMIFS(Úsporná_opatření[Úspora emisí N2O '[kg']],Úsporná_opatření[Sektor],$B21,Úsporná_opatření[Opatření],$B20,Úsporná_opatření[Typ],N$7,Úsporná_opatření[Podíl dotace '[%']],"&gt;0")</f>
        <v>4.474537847651046</v>
      </c>
      <c r="O30" s="55">
        <f>SUMIFS(Úsporná_opatření[Úspora emisí N2O '[kg']],Úsporná_opatření[Sektor],$B21,Úsporná_opatření[Opatření],$B20,Úsporná_opatření[Typ],O$7,Úsporná_opatření[Podíl dotace '[%']],"&gt;0")</f>
        <v>0</v>
      </c>
      <c r="P30" s="10"/>
      <c r="Q30" t="s">
        <v>361</v>
      </c>
      <c r="R30" s="55">
        <f>R23*M30</f>
        <v>0</v>
      </c>
      <c r="S30" s="55">
        <f>S23*N30</f>
        <v>4.474537847651046</v>
      </c>
      <c r="T30" s="55">
        <f>T23*O30</f>
        <v>0</v>
      </c>
      <c r="U30" s="55">
        <f t="shared" si="6"/>
        <v>4.474537847651046</v>
      </c>
    </row>
    <row r="31" spans="1:21" ht="18.75" thickBot="1" x14ac:dyDescent="0.4">
      <c r="A31" s="52" t="s">
        <v>306</v>
      </c>
      <c r="B31" s="48">
        <f t="shared" si="5"/>
        <v>1226.7043789041506</v>
      </c>
      <c r="C31" s="25" t="s">
        <v>303</v>
      </c>
      <c r="L31" t="s">
        <v>362</v>
      </c>
      <c r="M31" s="55">
        <f>SUMIFS(Úsporná_opatření[Úspora emisí CO2eq '[t']],Úsporná_opatření[Sektor],$B21,Úsporná_opatření[Opatření],$B20,Úsporná_opatření[Typ],M$7,Úsporná_opatření[Podíl dotace '[%']],"&gt;0")</f>
        <v>0</v>
      </c>
      <c r="N31" s="55">
        <f>SUMIFS(Úsporná_opatření[Úspora emisí CO2eq '[t']],Úsporná_opatření[Sektor],$B21,Úsporná_opatření[Opatření],$B20,Úsporná_opatření[Typ],N$7,Úsporná_opatření[Podíl dotace '[%']],"&gt;0")</f>
        <v>1752.4348270059295</v>
      </c>
      <c r="O31" s="55">
        <f>SUMIFS(Úsporná_opatření[Úspora emisí CO2eq '[t']],Úsporná_opatření[Sektor],$B21,Úsporná_opatření[Opatření],$B20,Úsporná_opatření[Typ],O$7,Úsporná_opatření[Podíl dotace '[%']],"&gt;0")</f>
        <v>0</v>
      </c>
      <c r="P31" s="10"/>
      <c r="Q31" t="s">
        <v>362</v>
      </c>
      <c r="R31" s="55">
        <f>R23*M31</f>
        <v>0</v>
      </c>
      <c r="S31" s="55">
        <f>S23*N31</f>
        <v>1752.4348270059295</v>
      </c>
      <c r="T31" s="55">
        <f>T23*O31</f>
        <v>0</v>
      </c>
      <c r="U31" s="55">
        <f t="shared" si="6"/>
        <v>1752.4348270059295</v>
      </c>
    </row>
    <row r="32" spans="1:21" ht="15.75" thickBot="1" x14ac:dyDescent="0.3"/>
    <row r="33" spans="1:21" x14ac:dyDescent="0.25">
      <c r="A33" s="43" t="s">
        <v>289</v>
      </c>
      <c r="B33" s="60" t="s">
        <v>0</v>
      </c>
      <c r="C33" s="23"/>
      <c r="D33" s="22" t="str">
        <f>IF(D34=TRUE,"Zadejte jinou kombinaci sektoru a opatření","")</f>
        <v/>
      </c>
      <c r="M33" s="1" t="s">
        <v>351</v>
      </c>
      <c r="N33" s="1" t="s">
        <v>352</v>
      </c>
      <c r="O33" s="1" t="s">
        <v>353</v>
      </c>
      <c r="P33" s="10"/>
      <c r="R33" s="1"/>
      <c r="S33" s="1"/>
      <c r="T33" s="1"/>
      <c r="U33" s="1"/>
    </row>
    <row r="34" spans="1:21" x14ac:dyDescent="0.25">
      <c r="A34" s="49" t="s">
        <v>35</v>
      </c>
      <c r="B34" s="61" t="s">
        <v>8</v>
      </c>
      <c r="C34" s="24"/>
      <c r="D34" s="21" t="b">
        <f>ISERROR(VLOOKUP(CONCATENATE(B34,B33),Úsporná_opatření[[Sloupec1]:[Investice '[Kč/GJ']]],2,0))</f>
        <v>0</v>
      </c>
      <c r="L34" t="s">
        <v>354</v>
      </c>
      <c r="M34" s="55">
        <f>SUMIFS(Úsporná_opatření[Investice '[Kč/GJ']],Úsporná_opatření[Sektor],$B34,Úsporná_opatření[Opatření],$B33,Úsporná_opatření[Typ],M$7,Úsporná_opatření[Podíl dotace '[%']],"&gt;0")</f>
        <v>0</v>
      </c>
      <c r="N34" s="55">
        <f>SUMIFS(Úsporná_opatření[Investice '[Kč/GJ']],Úsporná_opatření[Sektor],$B34,Úsporná_opatření[Opatření],$B33,Úsporná_opatření[Typ],N$7,Úsporná_opatření[Podíl dotace '[%']],"&gt;0")</f>
        <v>17100</v>
      </c>
      <c r="O34" s="55">
        <f>SUMIFS(Úsporná_opatření[Investice '[Kč/GJ']],Úsporná_opatření[Sektor],$B34,Úsporná_opatření[Opatření],$B33,Úsporná_opatření[Typ],O$7,Úsporná_opatření[Podíl dotace '[%']],"&gt;0")</f>
        <v>22800</v>
      </c>
      <c r="P34" s="10"/>
      <c r="R34" s="2"/>
    </row>
    <row r="35" spans="1:21" x14ac:dyDescent="0.25">
      <c r="A35" s="50" t="s">
        <v>310</v>
      </c>
      <c r="B35" s="62">
        <v>0.1</v>
      </c>
      <c r="C35" s="24"/>
      <c r="D35" s="14" t="str">
        <f>IF(($B$9+$B$22+$B$35+$B$48+$B$74+$B$61+$B$87+$B$100+$B$113+$B$126)&lt;&gt;1,"Podíly na alokaci programu není v součtu 100%","")</f>
        <v/>
      </c>
      <c r="L35" t="s">
        <v>355</v>
      </c>
      <c r="M35" s="56">
        <f>SUMIFS(Úsporná_opatření[Podíl dotace '[%']],Úsporná_opatření[Sektor],$B34,Úsporná_opatření[Opatření],$B33,Úsporná_opatření[Typ],M$7,Úsporná_opatření[Podíl dotace '[%']],"&gt;0")</f>
        <v>0</v>
      </c>
      <c r="N35" s="56">
        <f>SUMIFS(Úsporná_opatření[Podíl dotace '[%']],Úsporná_opatření[Sektor],$B34,Úsporná_opatření[Opatření],$B33,Úsporná_opatření[Typ],N$7,Úsporná_opatření[Podíl dotace '[%']],"&gt;0")</f>
        <v>0.36842105263157898</v>
      </c>
      <c r="O35" s="56">
        <f>SUMIFS(Úsporná_opatření[Podíl dotace '[%']],Úsporná_opatření[Sektor],$B34,Úsporná_opatření[Opatření],$B33,Úsporná_opatření[Typ],O$7,Úsporná_opatření[Podíl dotace '[%']],"&gt;0")</f>
        <v>0.5714285714285714</v>
      </c>
      <c r="P35" s="10"/>
      <c r="R35" s="1" t="s">
        <v>351</v>
      </c>
      <c r="S35" s="1" t="s">
        <v>352</v>
      </c>
      <c r="T35" s="1" t="s">
        <v>353</v>
      </c>
      <c r="U35" s="1" t="s">
        <v>363</v>
      </c>
    </row>
    <row r="36" spans="1:21" x14ac:dyDescent="0.25">
      <c r="A36" s="50"/>
      <c r="B36" s="57">
        <f>B35*$B$3</f>
        <v>2.31</v>
      </c>
      <c r="C36" s="24" t="s">
        <v>293</v>
      </c>
      <c r="P36" s="10"/>
      <c r="Q36" t="s">
        <v>365</v>
      </c>
      <c r="R36" s="56">
        <f>IF($B37&lt;=M35-Tolerance,0,IF($B37&gt;=M35+Tolerance,1,($B37-(M35-Tolerance))/(2*Tolerance)))</f>
        <v>1</v>
      </c>
      <c r="S36" s="56">
        <f>IF($B37&lt;=N35-Tolerance,0,IF($B37&gt;=N35+Tolerance,1,($B37-(N35-Tolerance))/(2*Tolerance)))</f>
        <v>0.30789473684210505</v>
      </c>
      <c r="T36" s="56">
        <f>IF($B37&lt;=O35-Tolerance,0,IF($B37&gt;=O35+Tolerance,1,($B37-(O35-Tolerance))/(2*Tolerance)))</f>
        <v>0</v>
      </c>
    </row>
    <row r="37" spans="1:21" x14ac:dyDescent="0.25">
      <c r="A37" s="50" t="s">
        <v>297</v>
      </c>
      <c r="B37" s="62">
        <v>0.33</v>
      </c>
      <c r="C37" s="24"/>
      <c r="D37" s="14" t="str">
        <f>IF(B38=0,"Podíl dotace na investičních výdajích je příliš nízký","")</f>
        <v/>
      </c>
    </row>
    <row r="38" spans="1:21" x14ac:dyDescent="0.25">
      <c r="A38" s="50" t="s">
        <v>313</v>
      </c>
      <c r="B38" s="63">
        <f>U38/1000000000</f>
        <v>2.2721704891607297</v>
      </c>
      <c r="C38" s="24" t="s">
        <v>293</v>
      </c>
      <c r="D38" s="14" t="str">
        <f>IF(B38&lt;B36-Tolerance,"Alokace nebude pravděpodobně vyčerpána",IF(B38&gt;B36+Tolerance,"Alokace bude pravděpodobně přečerpána","Alokace bude pravděpodobně vyčerpána"))</f>
        <v>Alokace bude pravděpodobně vyčerpána</v>
      </c>
      <c r="E38" s="14"/>
      <c r="L38" t="s">
        <v>364</v>
      </c>
      <c r="M38" s="55">
        <f>SUMIFS(Úsporná_opatření[Dotace],Úsporná_opatření[Sektor],$B34,Úsporná_opatření[Opatření],$B33,Úsporná_opatření[Typ],M$7,Úsporná_opatření[Podíl dotace '[%']],"&gt;0")</f>
        <v>0</v>
      </c>
      <c r="N38" s="55">
        <f>SUMIFS(Úsporná_opatření[Dotace],Úsporná_opatření[Sektor],$B34,Úsporná_opatření[Opatření],$B33,Úsporná_opatření[Typ],N$7,Úsporná_opatření[Podíl dotace '[%']],"&gt;0")</f>
        <v>7379699024.6245985</v>
      </c>
      <c r="O38" s="55">
        <f>SUMIFS(Úsporná_opatření[Dotace],Úsporná_opatření[Sektor],$B34,Úsporná_opatření[Opatření],$B33,Úsporná_opatření[Typ],O$7,Úsporná_opatření[Podíl dotace '[%']],"&gt;0")</f>
        <v>5450506568.2358551</v>
      </c>
      <c r="Q38" t="s">
        <v>364</v>
      </c>
      <c r="R38" s="55">
        <f>R36*M38</f>
        <v>0</v>
      </c>
      <c r="S38" s="55">
        <f>S36*N38</f>
        <v>2272170489.1607299</v>
      </c>
      <c r="T38" s="55">
        <f>T36*O38</f>
        <v>0</v>
      </c>
      <c r="U38" s="55">
        <f>SUM(R38:T38)</f>
        <v>2272170489.1607299</v>
      </c>
    </row>
    <row r="39" spans="1:21" ht="30" x14ac:dyDescent="0.25">
      <c r="A39" s="51" t="s">
        <v>323</v>
      </c>
      <c r="B39" s="46">
        <f>U39/1000000000</f>
        <v>6.1673198991505531</v>
      </c>
      <c r="C39" s="24" t="s">
        <v>293</v>
      </c>
      <c r="D39" s="14"/>
      <c r="E39" s="14"/>
      <c r="L39" t="s">
        <v>357</v>
      </c>
      <c r="M39" s="55">
        <f>SUMIFS(Úsporná_opatření[Investice],Úsporná_opatření[Sektor],$B34,Úsporná_opatření[Opatření],$B33,Úsporná_opatření[Typ],M$7,Úsporná_opatření[Podíl dotace '[%']],"&gt;0")</f>
        <v>0</v>
      </c>
      <c r="N39" s="55">
        <f>SUMIFS(Úsporná_opatření[Investice],Úsporná_opatření[Sektor],$B34,Úsporná_opatření[Opatření],$B33,Úsporná_opatření[Typ],N$7,Úsporná_opatření[Podíl dotace '[%']],"&gt;0")</f>
        <v>20030611638.266766</v>
      </c>
      <c r="O39" s="55">
        <f>SUMIFS(Úsporná_opatření[Investice],Úsporná_opatření[Sektor],$B34,Úsporná_opatření[Opatření],$B33,Úsporná_opatření[Typ],O$7,Úsporná_opatření[Podíl dotace '[%']],"&gt;0")</f>
        <v>9538386494.4127464</v>
      </c>
      <c r="P39" s="10"/>
      <c r="Q39" t="s">
        <v>357</v>
      </c>
      <c r="R39" s="55">
        <f>M39*R36</f>
        <v>0</v>
      </c>
      <c r="S39" s="55">
        <f>N39*S36</f>
        <v>6167319899.1505527</v>
      </c>
      <c r="T39" s="55">
        <f>O39*T36</f>
        <v>0</v>
      </c>
      <c r="U39" s="55">
        <f>SUM(R39:T39)</f>
        <v>6167319899.1505527</v>
      </c>
    </row>
    <row r="40" spans="1:21" x14ac:dyDescent="0.25">
      <c r="A40" s="50" t="s">
        <v>294</v>
      </c>
      <c r="B40" s="46">
        <f>U40/1000*0.7</f>
        <v>0.25246338768452553</v>
      </c>
      <c r="C40" s="24" t="s">
        <v>298</v>
      </c>
      <c r="L40" t="s">
        <v>356</v>
      </c>
      <c r="M40" s="55">
        <f>SUMIFS(Úsporná_opatření[Potenciál úspor energie v TJ],Úsporná_opatření[Sektor],$B34,Úsporná_opatření[Opatření],$B33,Úsporná_opatření[Typ],M$7,Úsporná_opatření[Podíl dotace '[%']],"&gt;0")</f>
        <v>0</v>
      </c>
      <c r="N40" s="55">
        <f>SUMIFS(Úsporná_opatření[Potenciál úspor energie v TJ],Úsporná_opatření[Sektor],$B34,Úsporná_opatření[Opatření],$B33,Úsporná_opatření[Typ],N$7,Úsporná_opatření[Podíl dotace '[%']],"&gt;0")</f>
        <v>1171.38079755946</v>
      </c>
      <c r="O40" s="55">
        <f>SUMIFS(Úsporná_opatření[Potenciál úspor energie v TJ],Úsporná_opatření[Sektor],$B34,Úsporná_opatření[Opatření],$B33,Úsporná_opatření[Typ],O$7,Úsporná_opatření[Podíl dotace '[%']],"&gt;0")</f>
        <v>418.35028484266428</v>
      </c>
      <c r="Q40" t="s">
        <v>356</v>
      </c>
      <c r="R40" s="55">
        <f>R36*M40</f>
        <v>0</v>
      </c>
      <c r="S40" s="55">
        <f t="shared" ref="S40" si="7">S36*N40</f>
        <v>360.66198240646509</v>
      </c>
      <c r="T40" s="55">
        <f t="shared" ref="T40" si="8">T36*O40</f>
        <v>0</v>
      </c>
      <c r="U40" s="55">
        <f>SUM(R40:T40)</f>
        <v>360.66198240646509</v>
      </c>
    </row>
    <row r="41" spans="1:21" ht="18" x14ac:dyDescent="0.35">
      <c r="A41" s="50" t="s">
        <v>309</v>
      </c>
      <c r="B41" s="47">
        <f>U41*0.7</f>
        <v>61425.694669950186</v>
      </c>
      <c r="C41" s="24" t="s">
        <v>303</v>
      </c>
      <c r="L41" t="s">
        <v>359</v>
      </c>
      <c r="M41" s="55">
        <f>SUMIFS(Úsporná_opatření[Úspora emisí CO2 '[t']],Úsporná_opatření[Sektor],$B34,Úsporná_opatření[Opatření],$B33,Úsporná_opatření[Typ],M$7,Úsporná_opatření[Podíl dotace '[%']],"&gt;0")</f>
        <v>0</v>
      </c>
      <c r="N41" s="55">
        <f>SUMIFS(Úsporná_opatření[Úspora emisí CO2 '[t']],Úsporná_opatření[Sektor],$B34,Úsporná_opatření[Opatření],$B33,Úsporná_opatření[Typ],N$7,Úsporná_opatření[Podíl dotace '[%']],"&gt;0")</f>
        <v>285003.22313285823</v>
      </c>
      <c r="O41" s="55">
        <f>SUMIFS(Úsporná_opatření[Úspora emisí CO2 '[t']],Úsporná_opatření[Sektor],$B34,Úsporná_opatření[Opatření],$B33,Úsporná_opatření[Typ],O$7,Úsporná_opatření[Podíl dotace '[%']],"&gt;0")</f>
        <v>101786.86540459222</v>
      </c>
      <c r="P41" s="10"/>
      <c r="Q41" t="s">
        <v>359</v>
      </c>
      <c r="R41" s="55">
        <f>R36*M41</f>
        <v>0</v>
      </c>
      <c r="S41" s="55">
        <f>S36*N41</f>
        <v>87750.992385643127</v>
      </c>
      <c r="T41" s="55">
        <f>T36*O41</f>
        <v>0</v>
      </c>
      <c r="U41" s="55">
        <f>SUM(R41:T41)</f>
        <v>87750.992385643127</v>
      </c>
    </row>
    <row r="42" spans="1:21" ht="18" x14ac:dyDescent="0.35">
      <c r="A42" s="50" t="s">
        <v>308</v>
      </c>
      <c r="B42" s="47">
        <f t="shared" ref="B42:B44" si="9">U42*0.7</f>
        <v>656.25782527235822</v>
      </c>
      <c r="C42" s="24" t="s">
        <v>299</v>
      </c>
      <c r="L42" t="s">
        <v>360</v>
      </c>
      <c r="M42" s="55">
        <f>SUMIFS(Úsporná_opatření[Úspora emisí CH4 '[kg']],Úsporná_opatření[Sektor],$B34,Úsporná_opatření[Opatření],$B33,Úsporná_opatření[Typ],M$7,Úsporná_opatření[Podíl dotace '[%']],"&gt;0")</f>
        <v>0</v>
      </c>
      <c r="N42" s="55">
        <f>SUMIFS(Úsporná_opatření[Úspora emisí CH4 '[kg']],Úsporná_opatření[Sektor],$B34,Úsporná_opatření[Opatření],$B33,Úsporná_opatření[Typ],N$7,Úsporná_opatření[Podíl dotace '[%']],"&gt;0")</f>
        <v>3044.9081026067929</v>
      </c>
      <c r="O42" s="55">
        <f>SUMIFS(Úsporná_opatření[Úspora emisí CH4 '[kg']],Úsporná_opatření[Sektor],$B34,Úsporná_opatření[Opatření],$B33,Úsporná_opatření[Typ],O$7,Úsporná_opatření[Podíl dotace '[%']],"&gt;0")</f>
        <v>1087.467179502426</v>
      </c>
      <c r="P42" s="10"/>
      <c r="Q42" t="s">
        <v>360</v>
      </c>
      <c r="R42" s="55">
        <f>R36*M42</f>
        <v>0</v>
      </c>
      <c r="S42" s="55">
        <f>S36*N42</f>
        <v>937.51117896051187</v>
      </c>
      <c r="T42" s="55">
        <f>T36*O42</f>
        <v>0</v>
      </c>
      <c r="U42" s="55">
        <f t="shared" ref="U42:U44" si="10">SUM(R42:T42)</f>
        <v>937.51117896051187</v>
      </c>
    </row>
    <row r="43" spans="1:21" ht="18" x14ac:dyDescent="0.35">
      <c r="A43" s="50" t="s">
        <v>307</v>
      </c>
      <c r="B43" s="47">
        <f t="shared" si="9"/>
        <v>861.40414663096874</v>
      </c>
      <c r="C43" s="24" t="s">
        <v>299</v>
      </c>
      <c r="L43" t="s">
        <v>361</v>
      </c>
      <c r="M43" s="55">
        <f>SUMIFS(Úsporná_opatření[Úspora emisí N2O '[kg']],Úsporná_opatření[Sektor],$B34,Úsporná_opatření[Opatření],$B33,Úsporná_opatření[Typ],M$7,Úsporná_opatření[Podíl dotace '[%']],"&gt;0")</f>
        <v>0</v>
      </c>
      <c r="N43" s="55">
        <f>SUMIFS(Úsporná_opatření[Úspora emisí N2O '[kg']],Úsporná_opatření[Sektor],$B34,Úsporná_opatření[Opatření],$B33,Úsporná_opatření[Typ],N$7,Úsporná_opatření[Podíl dotace '[%']],"&gt;0")</f>
        <v>3996.7469562853275</v>
      </c>
      <c r="O43" s="55">
        <f>SUMIFS(Úsporná_opatření[Úspora emisí N2O '[kg']],Úsporná_opatření[Sektor],$B34,Úsporná_opatření[Opatření],$B33,Úsporná_opatření[Typ],O$7,Úsporná_opatření[Podíl dotace '[%']],"&gt;0")</f>
        <v>1427.4096272447598</v>
      </c>
      <c r="P43" s="10"/>
      <c r="Q43" t="s">
        <v>361</v>
      </c>
      <c r="R43" s="55">
        <f>R36*M43</f>
        <v>0</v>
      </c>
      <c r="S43" s="55">
        <f>S36*N43</f>
        <v>1230.5773523299554</v>
      </c>
      <c r="T43" s="55">
        <f>T36*O43</f>
        <v>0</v>
      </c>
      <c r="U43" s="55">
        <f t="shared" si="10"/>
        <v>1230.5773523299554</v>
      </c>
    </row>
    <row r="44" spans="1:21" ht="18.75" thickBot="1" x14ac:dyDescent="0.4">
      <c r="A44" s="52" t="s">
        <v>306</v>
      </c>
      <c r="B44" s="48">
        <f t="shared" si="9"/>
        <v>61698.799551278025</v>
      </c>
      <c r="C44" s="25" t="s">
        <v>303</v>
      </c>
      <c r="L44" t="s">
        <v>362</v>
      </c>
      <c r="M44" s="55">
        <f>SUMIFS(Úsporná_opatření[Úspora emisí CO2eq '[t']],Úsporná_opatření[Sektor],$B34,Úsporná_opatření[Opatření],$B33,Úsporná_opatření[Typ],M$7,Úsporná_opatření[Podíl dotace '[%']],"&gt;0")</f>
        <v>0</v>
      </c>
      <c r="N44" s="55">
        <f>SUMIFS(Úsporná_opatření[Úspora emisí CO2eq '[t']],Úsporná_opatření[Sektor],$B34,Úsporná_opatření[Opatření],$B33,Úsporná_opatření[Typ],N$7,Úsporná_opatření[Podíl dotace '[%']],"&gt;0")</f>
        <v>286270.37642839644</v>
      </c>
      <c r="O44" s="55">
        <f>SUMIFS(Úsporná_opatření[Úspora emisí CO2eq '[t']],Úsporná_opatření[Sektor],$B34,Úsporná_opatření[Opatření],$B33,Úsporná_opatření[Typ],O$7,Úsporná_opatření[Podíl dotace '[%']],"&gt;0")</f>
        <v>102239.42015299872</v>
      </c>
      <c r="P44" s="10"/>
      <c r="Q44" t="s">
        <v>362</v>
      </c>
      <c r="R44" s="55">
        <f>R36*M44</f>
        <v>0</v>
      </c>
      <c r="S44" s="55">
        <f>S36*N44</f>
        <v>88141.142216111475</v>
      </c>
      <c r="T44" s="55">
        <f>T36*O44</f>
        <v>0</v>
      </c>
      <c r="U44" s="55">
        <f t="shared" si="10"/>
        <v>88141.142216111475</v>
      </c>
    </row>
    <row r="45" spans="1:21" ht="15.75" thickBot="1" x14ac:dyDescent="0.3"/>
    <row r="46" spans="1:21" x14ac:dyDescent="0.25">
      <c r="A46" s="43" t="s">
        <v>290</v>
      </c>
      <c r="B46" s="60" t="s">
        <v>1</v>
      </c>
      <c r="C46" s="23"/>
      <c r="D46" s="22" t="str">
        <f>IF(D47=TRUE,"Zadejte jinou kombinaci sektoru a opatření","")</f>
        <v/>
      </c>
      <c r="M46" s="1" t="s">
        <v>351</v>
      </c>
      <c r="N46" s="1" t="s">
        <v>352</v>
      </c>
      <c r="O46" s="1" t="s">
        <v>353</v>
      </c>
      <c r="P46" s="10"/>
      <c r="R46" s="1"/>
      <c r="S46" s="1"/>
      <c r="T46" s="1"/>
      <c r="U46" s="1"/>
    </row>
    <row r="47" spans="1:21" x14ac:dyDescent="0.25">
      <c r="A47" s="49" t="s">
        <v>35</v>
      </c>
      <c r="B47" s="61" t="s">
        <v>8</v>
      </c>
      <c r="C47" s="24"/>
      <c r="D47" s="21" t="b">
        <f>ISERROR(VLOOKUP(CONCATENATE(B47,B46),Úsporná_opatření[[Sloupec1]:[Investice '[Kč/GJ']]],2,0))</f>
        <v>0</v>
      </c>
      <c r="L47" t="s">
        <v>354</v>
      </c>
      <c r="M47" s="55">
        <f>SUMIFS(Úsporná_opatření[Investice '[Kč/GJ']],Úsporná_opatření[Sektor],$B47,Úsporná_opatření[Opatření],$B46,Úsporná_opatření[Typ],M$7,Úsporná_opatření[Podíl dotace '[%']],"&gt;0")</f>
        <v>11042.89925015327</v>
      </c>
      <c r="N47" s="55">
        <f>SUMIFS(Úsporná_opatření[Investice '[Kč/GJ']],Úsporná_opatření[Sektor],$B47,Úsporná_opatření[Opatření],$B46,Úsporná_opatření[Typ],N$7,Úsporná_opatření[Podíl dotace '[%']],"&gt;0")</f>
        <v>13207.76518426527</v>
      </c>
      <c r="O47" s="55">
        <f>SUMIFS(Úsporná_opatření[Investice '[Kč/GJ']],Úsporná_opatření[Sektor],$B47,Úsporná_opatření[Opatření],$B46,Úsporná_opatření[Typ],O$7,Úsporná_opatření[Podíl dotace '[%']],"&gt;0")</f>
        <v>18137.390680102075</v>
      </c>
      <c r="P47" s="10"/>
      <c r="R47" s="2"/>
    </row>
    <row r="48" spans="1:21" x14ac:dyDescent="0.25">
      <c r="A48" s="50" t="s">
        <v>310</v>
      </c>
      <c r="B48" s="62">
        <v>0.1</v>
      </c>
      <c r="C48" s="24"/>
      <c r="D48" s="14" t="str">
        <f>IF(($B$9+$B$22+$B$35+$B$48+$B$74+$B$61+$B$87+$B$100+$B$113+$B$126)&lt;&gt;1,"Podíly na alokaci programu není v součtu 100%","")</f>
        <v/>
      </c>
      <c r="L48" t="s">
        <v>355</v>
      </c>
      <c r="M48" s="56">
        <f>SUMIFS(Úsporná_opatření[Podíl dotace '[%']],Úsporná_opatření[Sektor],$B47,Úsporná_opatření[Opatření],$B46,Úsporná_opatření[Typ],M$7,Úsporná_opatření[Podíl dotace '[%']],"&gt;0")</f>
        <v>0.19999999999999996</v>
      </c>
      <c r="N48" s="56">
        <f>SUMIFS(Úsporná_opatření[Podíl dotace '[%']],Úsporná_opatření[Sektor],$B47,Úsporná_opatření[Opatření],$B46,Úsporná_opatření[Typ],N$7,Úsporná_opatření[Podíl dotace '[%']],"&gt;0")</f>
        <v>0.52</v>
      </c>
      <c r="O48" s="56">
        <f>SUMIFS(Úsporná_opatření[Podíl dotace '[%']],Úsporná_opatření[Sektor],$B47,Úsporná_opatření[Opatření],$B46,Úsporná_opatření[Typ],O$7,Úsporná_opatření[Podíl dotace '[%']],"&gt;0")</f>
        <v>0.5714285714285714</v>
      </c>
      <c r="P48" s="10"/>
      <c r="R48" s="1" t="s">
        <v>351</v>
      </c>
      <c r="S48" s="1" t="s">
        <v>352</v>
      </c>
      <c r="T48" s="1" t="s">
        <v>353</v>
      </c>
      <c r="U48" s="1" t="s">
        <v>363</v>
      </c>
    </row>
    <row r="49" spans="1:21" x14ac:dyDescent="0.25">
      <c r="A49" s="50"/>
      <c r="B49" s="57">
        <f>B48*$B$3</f>
        <v>2.31</v>
      </c>
      <c r="C49" s="24" t="s">
        <v>293</v>
      </c>
      <c r="P49" s="10"/>
      <c r="Q49" t="s">
        <v>365</v>
      </c>
      <c r="R49" s="56">
        <f>IF($B50&lt;=M48-Tolerance,0,IF($B50&gt;=M48+Tolerance,1,($B50-(M48-Tolerance))/(2*Tolerance)))</f>
        <v>1</v>
      </c>
      <c r="S49" s="56">
        <f>IF($B50&lt;=N48-Tolerance,0,IF($B50&gt;=N48+Tolerance,1,($B50-(N48-Tolerance))/(2*Tolerance)))</f>
        <v>0.65</v>
      </c>
      <c r="T49" s="56">
        <f>IF($B50&lt;=O48-Tolerance,0,IF($B50&gt;=O48+Tolerance,1,($B50-(O48-Tolerance))/(2*Tolerance)))</f>
        <v>0.39285714285714313</v>
      </c>
    </row>
    <row r="50" spans="1:21" x14ac:dyDescent="0.25">
      <c r="A50" s="50" t="s">
        <v>297</v>
      </c>
      <c r="B50" s="62">
        <v>0.55000000000000004</v>
      </c>
      <c r="C50" s="24"/>
      <c r="D50" s="14" t="str">
        <f>IF(B51=0,"Podíl dotace na investičních výdajích je příliš nízký","")</f>
        <v/>
      </c>
    </row>
    <row r="51" spans="1:21" x14ac:dyDescent="0.25">
      <c r="A51" s="50" t="s">
        <v>313</v>
      </c>
      <c r="B51" s="63">
        <f>U51/1000000000</f>
        <v>1.7686697083962015</v>
      </c>
      <c r="C51" s="24" t="s">
        <v>293</v>
      </c>
      <c r="D51" s="14" t="str">
        <f>IF(B51&lt;B49-Tolerance,"Alokace nebude pravděpodobně vyčerpána",IF(B51&gt;B49+Tolerance,"Alokace bude pravděpodobně přečerpána","Alokace bude pravděpodobně vyčerpána"))</f>
        <v>Alokace nebude pravděpodobně vyčerpána</v>
      </c>
      <c r="E51" s="14"/>
      <c r="L51" t="s">
        <v>364</v>
      </c>
      <c r="M51" s="55">
        <f>SUMIFS(Úsporná_opatření[Dotace],Úsporná_opatření[Sektor],$B47,Úsporná_opatření[Opatření],$B46,Úsporná_opatření[Typ],M$7,Úsporná_opatření[Podíl dotace '[%']],"&gt;0")</f>
        <v>146907404.16813615</v>
      </c>
      <c r="N51" s="55">
        <f>SUMIFS(Úsporná_opatření[Dotace],Úsporná_opatření[Sektor],$B47,Úsporná_opatření[Opatření],$B46,Úsporná_opatření[Typ],N$7,Úsporná_opatření[Podíl dotace '[%']],"&gt;0")</f>
        <v>1522796981.9444501</v>
      </c>
      <c r="O51" s="55">
        <f>SUMIFS(Úsporná_opatření[Dotace],Úsporná_opatření[Sektor],$B47,Úsporná_opatření[Opatření],$B46,Úsporná_opatření[Typ],O$7,Úsporná_opatření[Podíl dotace '[%']],"&gt;0")</f>
        <v>1608585404.272439</v>
      </c>
      <c r="Q51" t="s">
        <v>364</v>
      </c>
      <c r="R51" s="55">
        <f>R49*M51</f>
        <v>146907404.16813615</v>
      </c>
      <c r="S51" s="55">
        <f>S49*N51</f>
        <v>989818038.26389265</v>
      </c>
      <c r="T51" s="55">
        <f>T49*O51</f>
        <v>631944265.96417284</v>
      </c>
      <c r="U51" s="55">
        <f>SUM(R51:T51)</f>
        <v>1768669708.3962016</v>
      </c>
    </row>
    <row r="52" spans="1:21" ht="30" x14ac:dyDescent="0.25">
      <c r="A52" s="51" t="s">
        <v>323</v>
      </c>
      <c r="B52" s="46">
        <f>U52/1000000000</f>
        <v>3.7439357137085461</v>
      </c>
      <c r="C52" s="24" t="s">
        <v>293</v>
      </c>
      <c r="D52" s="14"/>
      <c r="E52" s="14"/>
      <c r="L52" t="s">
        <v>357</v>
      </c>
      <c r="M52" s="55">
        <f>SUMIFS(Úsporná_opatření[Investice],Úsporná_opatření[Sektor],$B47,Úsporná_opatření[Opatření],$B46,Úsporná_opatření[Typ],M$7,Úsporná_opatření[Podíl dotace '[%']],"&gt;0")</f>
        <v>734537020.84068096</v>
      </c>
      <c r="N52" s="55">
        <f>SUMIFS(Úsporná_opatření[Investice],Úsporná_opatření[Sektor],$B47,Úsporná_opatření[Opatření],$B46,Úsporná_opatření[Typ],N$7,Úsporná_opatření[Podíl dotace '[%']],"&gt;0")</f>
        <v>2928455734.5085578</v>
      </c>
      <c r="O52" s="55">
        <f>SUMIFS(Úsporná_opatření[Investice],Úsporná_opatření[Sektor],$B47,Úsporná_opatření[Opatření],$B46,Úsporná_opatření[Typ],O$7,Úsporná_opatření[Podíl dotace '[%']],"&gt;0")</f>
        <v>2815024457.4767685</v>
      </c>
      <c r="P52" s="10"/>
      <c r="Q52" t="s">
        <v>357</v>
      </c>
      <c r="R52" s="55">
        <f>M52*R49</f>
        <v>734537020.84068096</v>
      </c>
      <c r="S52" s="55">
        <f>N52*S49</f>
        <v>1903496227.4305627</v>
      </c>
      <c r="T52" s="55">
        <f>O52*T49</f>
        <v>1105902465.4373026</v>
      </c>
      <c r="U52" s="55">
        <f>SUM(R52:T52)</f>
        <v>3743935713.7085462</v>
      </c>
    </row>
    <row r="53" spans="1:21" x14ac:dyDescent="0.25">
      <c r="A53" s="50" t="s">
        <v>294</v>
      </c>
      <c r="B53" s="46">
        <f>U53/1000*0.7</f>
        <v>0.19012685017543188</v>
      </c>
      <c r="C53" s="24" t="s">
        <v>298</v>
      </c>
      <c r="L53" t="s">
        <v>356</v>
      </c>
      <c r="M53" s="55">
        <f>SUMIFS(Úsporná_opatření[Potenciál úspor energie v TJ],Úsporná_opatření[Sektor],$B47,Úsporná_opatření[Opatření],$B46,Úsporná_opatření[Typ],M$7,Úsporná_opatření[Podíl dotace '[%']],"&gt;0")</f>
        <v>66.516682277119017</v>
      </c>
      <c r="N53" s="55">
        <f>SUMIFS(Úsporná_opatření[Potenciál úspor energie v TJ],Úsporná_opatření[Sektor],$B47,Úsporná_opatření[Opatření],$B46,Úsporná_opatření[Typ],N$7,Úsporná_opatření[Podíl dotace '[%']],"&gt;0")</f>
        <v>221.72227425706339</v>
      </c>
      <c r="O53" s="55">
        <f>SUMIFS(Úsporná_opatření[Potenciál úspor energie v TJ],Úsporná_opatření[Sektor],$B47,Úsporná_opatření[Opatření],$B46,Úsporná_opatření[Typ],O$7,Úsporná_opatření[Podíl dotace '[%']],"&gt;0")</f>
        <v>155.20559197994439</v>
      </c>
      <c r="Q53" t="s">
        <v>356</v>
      </c>
      <c r="R53" s="55">
        <f>R49*M53</f>
        <v>66.516682277119017</v>
      </c>
      <c r="S53" s="55">
        <f t="shared" ref="S53" si="11">S49*N53</f>
        <v>144.11947826709121</v>
      </c>
      <c r="T53" s="55">
        <f t="shared" ref="T53" si="12">T49*O53</f>
        <v>60.973625420692478</v>
      </c>
      <c r="U53" s="55">
        <f>SUM(R53:T53)</f>
        <v>271.6097859649027</v>
      </c>
    </row>
    <row r="54" spans="1:21" ht="18" x14ac:dyDescent="0.35">
      <c r="A54" s="50" t="s">
        <v>309</v>
      </c>
      <c r="B54" s="47">
        <f>U54*0.7</f>
        <v>18048.044978810271</v>
      </c>
      <c r="C54" s="24" t="s">
        <v>303</v>
      </c>
      <c r="L54" t="s">
        <v>359</v>
      </c>
      <c r="M54" s="55">
        <f>SUMIFS(Úsporná_opatření[Úspora emisí CO2 '[t']],Úsporná_opatření[Sektor],$B47,Úsporná_opatření[Opatření],$B46,Úsporná_opatření[Typ],M$7,Úsporná_opatření[Podíl dotace '[%']],"&gt;0")</f>
        <v>6314.1848322368278</v>
      </c>
      <c r="N54" s="55">
        <f>SUMIFS(Úsporná_opatření[Úspora emisí CO2 '[t']],Úsporná_opatření[Sektor],$B47,Úsporná_opatření[Opatření],$B46,Úsporná_opatření[Typ],N$7,Úsporná_opatření[Podíl dotace '[%']],"&gt;0")</f>
        <v>21047.282774122759</v>
      </c>
      <c r="O54" s="55">
        <f>SUMIFS(Úsporná_opatření[Úspora emisí CO2 '[t']],Úsporná_opatření[Sektor],$B47,Úsporná_opatření[Opatření],$B46,Úsporná_opatření[Typ],O$7,Úsporná_opatření[Podíl dotace '[%']],"&gt;0")</f>
        <v>14733.097941885933</v>
      </c>
      <c r="P54" s="10"/>
      <c r="Q54" t="s">
        <v>359</v>
      </c>
      <c r="R54" s="55">
        <f>R49*M54</f>
        <v>6314.1848322368278</v>
      </c>
      <c r="S54" s="55">
        <f>S49*N54</f>
        <v>13680.733803179794</v>
      </c>
      <c r="T54" s="55">
        <f>T49*O54</f>
        <v>5788.0027628837634</v>
      </c>
      <c r="U54" s="55">
        <f>SUM(R54:T54)</f>
        <v>25782.921398300386</v>
      </c>
    </row>
    <row r="55" spans="1:21" ht="18" x14ac:dyDescent="0.35">
      <c r="A55" s="50" t="s">
        <v>308</v>
      </c>
      <c r="B55" s="47">
        <f t="shared" ref="B55:B57" si="13">U55*0.7</f>
        <v>218.31776819887511</v>
      </c>
      <c r="C55" s="24" t="s">
        <v>299</v>
      </c>
      <c r="L55" t="s">
        <v>360</v>
      </c>
      <c r="M55" s="55">
        <f>SUMIFS(Úsporná_opatření[Úspora emisí CH4 '[kg']],Úsporná_opatření[Sektor],$B47,Úsporná_opatření[Opatření],$B46,Úsporná_opatření[Typ],M$7,Úsporná_opatření[Podíl dotace '[%']],"&gt;0")</f>
        <v>76.379394122055416</v>
      </c>
      <c r="N55" s="55">
        <f>SUMIFS(Úsporná_opatření[Úspora emisí CH4 '[kg']],Úsporná_opatření[Sektor],$B47,Úsporná_opatření[Opatření],$B46,Úsporná_opatření[Typ],N$7,Úsporná_opatření[Podíl dotace '[%']],"&gt;0")</f>
        <v>254.59798040685141</v>
      </c>
      <c r="O55" s="55">
        <f>SUMIFS(Úsporná_opatření[Úspora emisí CH4 '[kg']],Úsporná_opatření[Sektor],$B47,Úsporná_opatření[Opatření],$B46,Úsporná_opatření[Typ],O$7,Úsporná_opatření[Podíl dotace '[%']],"&gt;0")</f>
        <v>178.218586284796</v>
      </c>
      <c r="P55" s="10"/>
      <c r="Q55" t="s">
        <v>360</v>
      </c>
      <c r="R55" s="55">
        <f>R49*M55</f>
        <v>76.379394122055416</v>
      </c>
      <c r="S55" s="55">
        <f>S49*N55</f>
        <v>165.48868726445343</v>
      </c>
      <c r="T55" s="55">
        <f>T49*O55</f>
        <v>70.014444611884187</v>
      </c>
      <c r="U55" s="55">
        <f t="shared" ref="U55:U57" si="14">SUM(R55:T55)</f>
        <v>311.88252599839302</v>
      </c>
    </row>
    <row r="56" spans="1:21" ht="18" x14ac:dyDescent="0.35">
      <c r="A56" s="50" t="s">
        <v>307</v>
      </c>
      <c r="B56" s="47">
        <f t="shared" si="13"/>
        <v>212.97761210725071</v>
      </c>
      <c r="C56" s="24" t="s">
        <v>299</v>
      </c>
      <c r="L56" t="s">
        <v>361</v>
      </c>
      <c r="M56" s="55">
        <f>SUMIFS(Úsporná_opatření[Úspora emisí N2O '[kg']],Úsporná_opatření[Sektor],$B47,Úsporná_opatření[Opatření],$B46,Úsporná_opatření[Typ],M$7,Úsporná_opatření[Podíl dotace '[%']],"&gt;0")</f>
        <v>74.511117938396723</v>
      </c>
      <c r="N56" s="55">
        <f>SUMIFS(Úsporná_opatření[Úspora emisí N2O '[kg']],Úsporná_opatření[Sektor],$B47,Úsporná_opatření[Opatření],$B46,Úsporná_opatření[Typ],N$7,Úsporná_opatření[Podíl dotace '[%']],"&gt;0")</f>
        <v>248.37039312798908</v>
      </c>
      <c r="O56" s="55">
        <f>SUMIFS(Úsporná_opatření[Úspora emisí N2O '[kg']],Úsporná_opatření[Sektor],$B47,Úsporná_opatření[Opatření],$B46,Úsporná_opatření[Typ],O$7,Úsporná_opatření[Podíl dotace '[%']],"&gt;0")</f>
        <v>173.85927518959238</v>
      </c>
      <c r="P56" s="10"/>
      <c r="Q56" t="s">
        <v>361</v>
      </c>
      <c r="R56" s="55">
        <f>R49*M56</f>
        <v>74.511117938396723</v>
      </c>
      <c r="S56" s="55">
        <f>S49*N56</f>
        <v>161.44075553319291</v>
      </c>
      <c r="T56" s="55">
        <f>T49*O56</f>
        <v>68.30185811019706</v>
      </c>
      <c r="U56" s="55">
        <f t="shared" si="14"/>
        <v>304.25373158178672</v>
      </c>
    </row>
    <row r="57" spans="1:21" ht="18.75" thickBot="1" x14ac:dyDescent="0.4">
      <c r="A57" s="52" t="s">
        <v>306</v>
      </c>
      <c r="B57" s="48">
        <f t="shared" si="13"/>
        <v>18116.970251423201</v>
      </c>
      <c r="C57" s="25" t="s">
        <v>303</v>
      </c>
      <c r="L57" t="s">
        <v>362</v>
      </c>
      <c r="M57" s="55">
        <f>SUMIFS(Úsporná_opatření[Úspora emisí CO2eq '[t']],Úsporná_opatření[Sektor],$B47,Úsporná_opatření[Opatření],$B46,Úsporná_opatření[Typ],M$7,Úsporná_opatření[Podíl dotace '[%']],"&gt;0")</f>
        <v>6338.2986302355212</v>
      </c>
      <c r="N57" s="55">
        <f>SUMIFS(Úsporná_opatření[Úspora emisí CO2eq '[t']],Úsporná_opatření[Sektor],$B47,Úsporná_opatření[Opatření],$B46,Úsporná_opatření[Typ],N$7,Úsporná_opatření[Podíl dotace '[%']],"&gt;0")</f>
        <v>21127.662100785074</v>
      </c>
      <c r="O57" s="55">
        <f>SUMIFS(Úsporná_opatření[Úspora emisí CO2eq '[t']],Úsporná_opatření[Sektor],$B47,Úsporná_opatření[Opatření],$B46,Úsporná_opatření[Typ],O$7,Úsporná_opatření[Podíl dotace '[%']],"&gt;0")</f>
        <v>14789.363470549551</v>
      </c>
      <c r="P57" s="10"/>
      <c r="Q57" t="s">
        <v>362</v>
      </c>
      <c r="R57" s="55">
        <f>R49*M57</f>
        <v>6338.2986302355212</v>
      </c>
      <c r="S57" s="55">
        <f>S49*N57</f>
        <v>13732.980365510299</v>
      </c>
      <c r="T57" s="55">
        <f>T49*O57</f>
        <v>5810.1070777158993</v>
      </c>
      <c r="U57" s="55">
        <f t="shared" si="14"/>
        <v>25881.386073461719</v>
      </c>
    </row>
    <row r="58" spans="1:21" ht="15.75" thickBot="1" x14ac:dyDescent="0.3"/>
    <row r="59" spans="1:21" x14ac:dyDescent="0.25">
      <c r="A59" s="43" t="s">
        <v>291</v>
      </c>
      <c r="B59" s="60" t="s">
        <v>72</v>
      </c>
      <c r="C59" s="23"/>
      <c r="D59" s="22" t="str">
        <f>IF(D60=TRUE,"Zadejte jinou kombinaci sektoru a opatření","")</f>
        <v/>
      </c>
      <c r="M59" s="1" t="s">
        <v>351</v>
      </c>
      <c r="N59" s="1" t="s">
        <v>352</v>
      </c>
      <c r="O59" s="1" t="s">
        <v>353</v>
      </c>
      <c r="P59" s="10"/>
      <c r="R59" s="1"/>
      <c r="S59" s="1"/>
      <c r="T59" s="1"/>
      <c r="U59" s="1"/>
    </row>
    <row r="60" spans="1:21" x14ac:dyDescent="0.25">
      <c r="A60" s="49" t="s">
        <v>35</v>
      </c>
      <c r="B60" s="61" t="s">
        <v>8</v>
      </c>
      <c r="C60" s="24"/>
      <c r="D60" s="21" t="b">
        <f>ISERROR(VLOOKUP(CONCATENATE(B60,B59),Úsporná_opatření[[Sloupec1]:[Investice '[Kč/GJ']]],2,0))</f>
        <v>0</v>
      </c>
      <c r="L60" t="s">
        <v>354</v>
      </c>
      <c r="M60" s="55">
        <f>SUMIFS(Úsporná_opatření[Investice '[Kč/GJ']],Úsporná_opatření[Sektor],$B60,Úsporná_opatření[Opatření],$B59,Úsporná_opatření[Typ],M$7,Úsporná_opatření[Podíl dotace '[%']],"&gt;0")</f>
        <v>0</v>
      </c>
      <c r="N60" s="55">
        <f>SUMIFS(Úsporná_opatření[Investice '[Kč/GJ']],Úsporná_opatření[Sektor],$B60,Úsporná_opatření[Opatření],$B59,Úsporná_opatření[Typ],N$7,Úsporná_opatření[Podíl dotace '[%']],"&gt;0")</f>
        <v>4488.5882289764795</v>
      </c>
      <c r="O60" s="55">
        <f>SUMIFS(Úsporná_opatření[Investice '[Kč/GJ']],Úsporná_opatření[Sektor],$B60,Úsporná_opatření[Opatření],$B59,Úsporná_opatření[Typ],O$7,Úsporná_opatření[Podíl dotace '[%']],"&gt;0")</f>
        <v>0</v>
      </c>
      <c r="P60" s="10"/>
      <c r="R60" s="2"/>
    </row>
    <row r="61" spans="1:21" x14ac:dyDescent="0.25">
      <c r="A61" s="50" t="s">
        <v>310</v>
      </c>
      <c r="B61" s="62">
        <v>0.05</v>
      </c>
      <c r="C61" s="24"/>
      <c r="D61" s="14" t="str">
        <f>IF(($B$9+$B$22+$B$35+$B$48+$B$74+$B$61+$B$87+$B$100+$B$113+$B$126)&lt;&gt;1,"Podíly na alokaci programu není v součtu 100%","")</f>
        <v/>
      </c>
      <c r="L61" t="s">
        <v>355</v>
      </c>
      <c r="M61" s="56">
        <f>SUMIFS(Úsporná_opatření[Podíl dotace '[%']],Úsporná_opatření[Sektor],$B60,Úsporná_opatření[Opatření],$B59,Úsporná_opatření[Typ],M$7,Úsporná_opatření[Podíl dotace '[%']],"&gt;0")</f>
        <v>0</v>
      </c>
      <c r="N61" s="56">
        <f>SUMIFS(Úsporná_opatření[Podíl dotace '[%']],Úsporná_opatření[Sektor],$B60,Úsporná_opatření[Opatření],$B59,Úsporná_opatření[Typ],N$7,Úsporná_opatření[Podíl dotace '[%']],"&gt;0")</f>
        <v>0.2</v>
      </c>
      <c r="O61" s="56">
        <f>SUMIFS(Úsporná_opatření[Podíl dotace '[%']],Úsporná_opatření[Sektor],$B60,Úsporná_opatření[Opatření],$B59,Úsporná_opatření[Typ],O$7,Úsporná_opatření[Podíl dotace '[%']],"&gt;0")</f>
        <v>0</v>
      </c>
      <c r="P61" s="10"/>
      <c r="R61" s="1" t="s">
        <v>351</v>
      </c>
      <c r="S61" s="1" t="s">
        <v>352</v>
      </c>
      <c r="T61" s="1" t="s">
        <v>353</v>
      </c>
      <c r="U61" s="1" t="s">
        <v>363</v>
      </c>
    </row>
    <row r="62" spans="1:21" x14ac:dyDescent="0.25">
      <c r="A62" s="50"/>
      <c r="B62" s="57">
        <f>B61*$B$3</f>
        <v>1.155</v>
      </c>
      <c r="C62" s="24" t="s">
        <v>293</v>
      </c>
      <c r="P62" s="10"/>
      <c r="Q62" t="s">
        <v>365</v>
      </c>
      <c r="R62" s="56">
        <f>IF($B63&lt;=M61-Tolerance,0,IF($B63&gt;=M61+Tolerance,1,($B63-(M61-Tolerance))/(2*Tolerance)))</f>
        <v>1</v>
      </c>
      <c r="S62" s="56">
        <f>IF($B63&lt;=N61-Tolerance,0,IF($B63&gt;=N61+Tolerance,1,($B63-(N61-Tolerance))/(2*Tolerance)))</f>
        <v>1</v>
      </c>
      <c r="T62" s="56">
        <f>IF($B63&lt;=O61-Tolerance,0,IF($B63&gt;=O61+Tolerance,1,($B63-(O61-Tolerance))/(2*Tolerance)))</f>
        <v>1</v>
      </c>
    </row>
    <row r="63" spans="1:21" x14ac:dyDescent="0.25">
      <c r="A63" s="50" t="s">
        <v>297</v>
      </c>
      <c r="B63" s="62">
        <v>0.3</v>
      </c>
      <c r="C63" s="24"/>
      <c r="D63" s="14" t="str">
        <f>IF(B64=0,"Podíl dotace na investičních výdajích je příliš nízký","")</f>
        <v/>
      </c>
    </row>
    <row r="64" spans="1:21" x14ac:dyDescent="0.25">
      <c r="A64" s="50" t="s">
        <v>313</v>
      </c>
      <c r="B64" s="63">
        <f>U64/1000000000</f>
        <v>4.2604533400911311E-5</v>
      </c>
      <c r="C64" s="24" t="s">
        <v>293</v>
      </c>
      <c r="D64" s="14" t="str">
        <f>IF(B64&lt;B62-Tolerance,"Alokace nebude pravděpodobně vyčerpána",IF(B64&gt;B62+Tolerance,"Alokace bude pravděpodobně přečerpána","Alokace bude pravděpodobně vyčerpána"))</f>
        <v>Alokace nebude pravděpodobně vyčerpána</v>
      </c>
      <c r="L64" t="s">
        <v>364</v>
      </c>
      <c r="M64" s="55">
        <f>SUMIFS(Úsporná_opatření[Dotace],Úsporná_opatření[Sektor],$B60,Úsporná_opatření[Opatření],$B59,Úsporná_opatření[Typ],M$7,Úsporná_opatření[Podíl dotace '[%']],"&gt;0")</f>
        <v>0</v>
      </c>
      <c r="N64" s="55">
        <f>SUMIFS(Úsporná_opatření[Dotace],Úsporná_opatření[Sektor],$B60,Úsporná_opatření[Opatření],$B59,Úsporná_opatření[Typ],N$7,Úsporná_opatření[Podíl dotace '[%']],"&gt;0")</f>
        <v>42604.533400911314</v>
      </c>
      <c r="O64" s="55">
        <f>SUMIFS(Úsporná_opatření[Dotace],Úsporná_opatření[Sektor],$B60,Úsporná_opatření[Opatření],$B59,Úsporná_opatření[Typ],O$7,Úsporná_opatření[Podíl dotace '[%']],"&gt;0")</f>
        <v>0</v>
      </c>
      <c r="Q64" t="s">
        <v>364</v>
      </c>
      <c r="R64" s="55">
        <f>R62*M64</f>
        <v>0</v>
      </c>
      <c r="S64" s="55">
        <f>S62*N64</f>
        <v>42604.533400911314</v>
      </c>
      <c r="T64" s="55">
        <f>T62*O64</f>
        <v>0</v>
      </c>
      <c r="U64" s="55">
        <f>SUM(R64:T64)</f>
        <v>42604.533400911314</v>
      </c>
    </row>
    <row r="65" spans="1:21" ht="30" x14ac:dyDescent="0.25">
      <c r="A65" s="51" t="s">
        <v>323</v>
      </c>
      <c r="B65" s="46">
        <f>U65/1000000000</f>
        <v>2.1302266700455656E-4</v>
      </c>
      <c r="C65" s="24" t="s">
        <v>293</v>
      </c>
      <c r="D65" s="14"/>
      <c r="L65" t="s">
        <v>357</v>
      </c>
      <c r="M65" s="55">
        <f>SUMIFS(Úsporná_opatření[Investice],Úsporná_opatření[Sektor],$B60,Úsporná_opatření[Opatření],$B59,Úsporná_opatření[Typ],M$7,Úsporná_opatření[Podíl dotace '[%']],"&gt;0")</f>
        <v>0</v>
      </c>
      <c r="N65" s="55">
        <f>SUMIFS(Úsporná_opatření[Investice],Úsporná_opatření[Sektor],$B60,Úsporná_opatření[Opatření],$B59,Úsporná_opatření[Typ],N$7,Úsporná_opatření[Podíl dotace '[%']],"&gt;0")</f>
        <v>213022.66700455657</v>
      </c>
      <c r="O65" s="55">
        <f>SUMIFS(Úsporná_opatření[Investice],Úsporná_opatření[Sektor],$B60,Úsporná_opatření[Opatření],$B59,Úsporná_opatření[Typ],O$7,Úsporná_opatření[Podíl dotace '[%']],"&gt;0")</f>
        <v>0</v>
      </c>
      <c r="P65" s="10"/>
      <c r="Q65" t="s">
        <v>357</v>
      </c>
      <c r="R65" s="55">
        <f>M65*R62</f>
        <v>0</v>
      </c>
      <c r="S65" s="55">
        <f>N65*S62</f>
        <v>213022.66700455657</v>
      </c>
      <c r="T65" s="55">
        <f>O65*T62</f>
        <v>0</v>
      </c>
      <c r="U65" s="55">
        <f>SUM(R65:T65)</f>
        <v>213022.66700455657</v>
      </c>
    </row>
    <row r="66" spans="1:21" x14ac:dyDescent="0.25">
      <c r="A66" s="50" t="s">
        <v>294</v>
      </c>
      <c r="B66" s="46">
        <f>U66/1000*0.7</f>
        <v>3.3221106347104616E-2</v>
      </c>
      <c r="C66" s="24" t="s">
        <v>298</v>
      </c>
      <c r="L66" t="s">
        <v>356</v>
      </c>
      <c r="M66" s="55">
        <f>SUMIFS(Úsporná_opatření[Potenciál úspor energie v TJ],Úsporná_opatření[Sektor],$B60,Úsporná_opatření[Opatření],$B59,Úsporná_opatření[Typ],M$7,Úsporná_opatření[Podíl dotace '[%']],"&gt;0")</f>
        <v>0</v>
      </c>
      <c r="N66" s="55">
        <f>SUMIFS(Úsporná_opatření[Potenciál úspor energie v TJ],Úsporná_opatření[Sektor],$B60,Úsporná_opatření[Opatření],$B59,Úsporná_opatření[Typ],N$7,Úsporná_opatření[Podíl dotace '[%']],"&gt;0")</f>
        <v>47.458723353006597</v>
      </c>
      <c r="O66" s="55">
        <f>SUMIFS(Úsporná_opatření[Potenciál úspor energie v TJ],Úsporná_opatření[Sektor],$B60,Úsporná_opatření[Opatření],$B59,Úsporná_opatření[Typ],O$7,Úsporná_opatření[Podíl dotace '[%']],"&gt;0")</f>
        <v>0</v>
      </c>
      <c r="Q66" t="s">
        <v>356</v>
      </c>
      <c r="R66" s="55">
        <f>R62*M66</f>
        <v>0</v>
      </c>
      <c r="S66" s="55">
        <f t="shared" ref="S66" si="15">S62*N66</f>
        <v>47.458723353006597</v>
      </c>
      <c r="T66" s="55">
        <f t="shared" ref="T66" si="16">T62*O66</f>
        <v>0</v>
      </c>
      <c r="U66" s="55">
        <f>SUM(R66:T66)</f>
        <v>47.458723353006597</v>
      </c>
    </row>
    <row r="67" spans="1:21" ht="18" x14ac:dyDescent="0.35">
      <c r="A67" s="50" t="s">
        <v>309</v>
      </c>
      <c r="B67" s="47">
        <f>U67*0.7</f>
        <v>7981.6053753851711</v>
      </c>
      <c r="C67" s="24" t="s">
        <v>303</v>
      </c>
      <c r="L67" t="s">
        <v>359</v>
      </c>
      <c r="M67" s="55">
        <f>SUMIFS(Úsporná_opatření[Úspora emisí CO2 '[t']],Úsporná_opatření[Sektor],$B60,Úsporná_opatření[Opatření],$B59,Úsporná_opatření[Typ],M$7,Úsporná_opatření[Podíl dotace '[%']],"&gt;0")</f>
        <v>0</v>
      </c>
      <c r="N67" s="55">
        <f>SUMIFS(Úsporná_opatření[Úspora emisí CO2 '[t']],Úsporná_opatření[Sektor],$B60,Úsporná_opatření[Opatření],$B59,Úsporná_opatření[Typ],N$7,Úsporná_opatření[Podíl dotace '[%']],"&gt;0")</f>
        <v>11402.293393407388</v>
      </c>
      <c r="O67" s="55">
        <f>SUMIFS(Úsporná_opatření[Úspora emisí CO2 '[t']],Úsporná_opatření[Sektor],$B60,Úsporná_opatření[Opatření],$B59,Úsporná_opatření[Typ],O$7,Úsporná_opatření[Podíl dotace '[%']],"&gt;0")</f>
        <v>0</v>
      </c>
      <c r="P67" s="10"/>
      <c r="Q67" t="s">
        <v>359</v>
      </c>
      <c r="R67" s="55">
        <f>R62*M67</f>
        <v>0</v>
      </c>
      <c r="S67" s="55">
        <f>S62*N67</f>
        <v>11402.293393407388</v>
      </c>
      <c r="T67" s="55">
        <f>T62*O67</f>
        <v>0</v>
      </c>
      <c r="U67" s="55">
        <f>SUM(R67:T67)</f>
        <v>11402.293393407388</v>
      </c>
    </row>
    <row r="68" spans="1:21" ht="18" x14ac:dyDescent="0.35">
      <c r="A68" s="50" t="s">
        <v>308</v>
      </c>
      <c r="B68" s="47">
        <f t="shared" ref="B68:B70" si="17">U68*0.7</f>
        <v>91.535942904604042</v>
      </c>
      <c r="C68" s="24" t="s">
        <v>299</v>
      </c>
      <c r="L68" t="s">
        <v>360</v>
      </c>
      <c r="M68" s="55">
        <f>SUMIFS(Úsporná_opatření[Úspora emisí CH4 '[kg']],Úsporná_opatření[Sektor],$B60,Úsporná_opatření[Opatření],$B59,Úsporná_opatření[Typ],M$7,Úsporná_opatření[Podíl dotace '[%']],"&gt;0")</f>
        <v>0</v>
      </c>
      <c r="N68" s="55">
        <f>SUMIFS(Úsporná_opatření[Úspora emisí CH4 '[kg']],Úsporná_opatření[Sektor],$B60,Úsporná_opatření[Opatření],$B59,Úsporná_opatření[Typ],N$7,Úsporná_opatření[Podíl dotace '[%']],"&gt;0")</f>
        <v>130.76563272086292</v>
      </c>
      <c r="O68" s="55">
        <f>SUMIFS(Úsporná_opatření[Úspora emisí CH4 '[kg']],Úsporná_opatření[Sektor],$B60,Úsporná_opatření[Opatření],$B59,Úsporná_opatření[Typ],O$7,Úsporná_opatření[Podíl dotace '[%']],"&gt;0")</f>
        <v>0</v>
      </c>
      <c r="P68" s="10"/>
      <c r="Q68" t="s">
        <v>360</v>
      </c>
      <c r="R68" s="55">
        <f>R62*M68</f>
        <v>0</v>
      </c>
      <c r="S68" s="55">
        <f>S62*N68</f>
        <v>130.76563272086292</v>
      </c>
      <c r="T68" s="55">
        <f>T62*O68</f>
        <v>0</v>
      </c>
      <c r="U68" s="55">
        <f t="shared" ref="U68:U70" si="18">SUM(R68:T68)</f>
        <v>130.76563272086292</v>
      </c>
    </row>
    <row r="69" spans="1:21" ht="18" x14ac:dyDescent="0.35">
      <c r="A69" s="50" t="s">
        <v>307</v>
      </c>
      <c r="B69" s="47">
        <f t="shared" si="17"/>
        <v>112.01189478146539</v>
      </c>
      <c r="C69" s="24" t="s">
        <v>299</v>
      </c>
      <c r="L69" t="s">
        <v>361</v>
      </c>
      <c r="M69" s="55">
        <f>SUMIFS(Úsporná_opatření[Úspora emisí N2O '[kg']],Úsporná_opatření[Sektor],$B60,Úsporná_opatření[Opatření],$B59,Úsporná_opatření[Typ],M$7,Úsporná_opatření[Podíl dotace '[%']],"&gt;0")</f>
        <v>0</v>
      </c>
      <c r="N69" s="55">
        <f>SUMIFS(Úsporná_opatření[Úspora emisí N2O '[kg']],Úsporná_opatření[Sektor],$B60,Úsporná_opatření[Opatření],$B59,Úsporná_opatření[Typ],N$7,Úsporná_opatření[Podíl dotace '[%']],"&gt;0")</f>
        <v>160.01699254495057</v>
      </c>
      <c r="O69" s="55">
        <f>SUMIFS(Úsporná_opatření[Úspora emisí N2O '[kg']],Úsporná_opatření[Sektor],$B60,Úsporná_opatření[Opatření],$B59,Úsporná_opatření[Typ],O$7,Úsporná_opatření[Podíl dotace '[%']],"&gt;0")</f>
        <v>0</v>
      </c>
      <c r="P69" s="10"/>
      <c r="Q69" t="s">
        <v>361</v>
      </c>
      <c r="R69" s="55">
        <f>R62*M69</f>
        <v>0</v>
      </c>
      <c r="S69" s="55">
        <f>S62*N69</f>
        <v>160.01699254495057</v>
      </c>
      <c r="T69" s="55">
        <f>T62*O69</f>
        <v>0</v>
      </c>
      <c r="U69" s="55">
        <f t="shared" si="18"/>
        <v>160.01699254495057</v>
      </c>
    </row>
    <row r="70" spans="1:21" ht="18.75" thickBot="1" x14ac:dyDescent="0.4">
      <c r="A70" s="52" t="s">
        <v>306</v>
      </c>
      <c r="B70" s="48">
        <f t="shared" si="17"/>
        <v>8017.2733186026635</v>
      </c>
      <c r="C70" s="25" t="s">
        <v>303</v>
      </c>
      <c r="L70" t="s">
        <v>362</v>
      </c>
      <c r="M70" s="55">
        <f>SUMIFS(Úsporná_opatření[Úspora emisí CO2eq '[t']],Úsporná_opatření[Sektor],$B60,Úsporná_opatření[Opatření],$B59,Úsporná_opatření[Typ],M$7,Úsporná_opatření[Podíl dotace '[%']],"&gt;0")</f>
        <v>0</v>
      </c>
      <c r="N70" s="55">
        <f>SUMIFS(Úsporná_opatření[Úspora emisí CO2eq '[t']],Úsporná_opatření[Sektor],$B60,Úsporná_opatření[Opatření],$B59,Úsporná_opatření[Typ],N$7,Úsporná_opatření[Podíl dotace '[%']],"&gt;0")</f>
        <v>11453.247598003805</v>
      </c>
      <c r="O70" s="55">
        <f>SUMIFS(Úsporná_opatření[Úspora emisí CO2eq '[t']],Úsporná_opatření[Sektor],$B60,Úsporná_opatření[Opatření],$B59,Úsporná_opatření[Typ],O$7,Úsporná_opatření[Podíl dotace '[%']],"&gt;0")</f>
        <v>0</v>
      </c>
      <c r="P70" s="10"/>
      <c r="Q70" t="s">
        <v>362</v>
      </c>
      <c r="R70" s="55">
        <f>R62*M70</f>
        <v>0</v>
      </c>
      <c r="S70" s="55">
        <f>S62*N70</f>
        <v>11453.247598003805</v>
      </c>
      <c r="T70" s="55">
        <f>T62*O70</f>
        <v>0</v>
      </c>
      <c r="U70" s="55">
        <f t="shared" si="18"/>
        <v>11453.247598003805</v>
      </c>
    </row>
    <row r="71" spans="1:21" ht="15.75" thickBot="1" x14ac:dyDescent="0.3"/>
    <row r="72" spans="1:21" x14ac:dyDescent="0.25">
      <c r="A72" s="43" t="s">
        <v>326</v>
      </c>
      <c r="B72" s="60" t="s">
        <v>2</v>
      </c>
      <c r="C72" s="23"/>
      <c r="D72" s="22" t="str">
        <f>IF(D73=TRUE,"Zadejte jinou kombinaci sektoru a opatření","")</f>
        <v/>
      </c>
      <c r="M72" s="1" t="s">
        <v>351</v>
      </c>
      <c r="N72" s="1" t="s">
        <v>352</v>
      </c>
      <c r="O72" s="1" t="s">
        <v>353</v>
      </c>
      <c r="P72" s="10"/>
      <c r="R72" s="1"/>
      <c r="S72" s="1"/>
      <c r="T72" s="1"/>
      <c r="U72" s="1"/>
    </row>
    <row r="73" spans="1:21" x14ac:dyDescent="0.25">
      <c r="A73" s="49" t="s">
        <v>35</v>
      </c>
      <c r="B73" s="61" t="s">
        <v>8</v>
      </c>
      <c r="C73" s="24"/>
      <c r="D73" s="21" t="b">
        <f>ISERROR(VLOOKUP(CONCATENATE(B73,B72),Úsporná_opatření[[Sloupec1]:[Investice '[Kč/GJ']]],2,0))</f>
        <v>0</v>
      </c>
      <c r="L73" t="s">
        <v>354</v>
      </c>
      <c r="M73" s="55">
        <f>SUMIFS(Úsporná_opatření[Investice '[Kč/GJ']],Úsporná_opatření[Sektor],$B73,Úsporná_opatření[Opatření],$B72,Úsporná_opatření[Typ],M$7,Úsporná_opatření[Podíl dotace '[%']],"&gt;0")</f>
        <v>500</v>
      </c>
      <c r="N73" s="55">
        <f>SUMIFS(Úsporná_opatření[Investice '[Kč/GJ']],Úsporná_opatření[Sektor],$B73,Úsporná_opatření[Opatření],$B72,Úsporná_opatření[Typ],N$7,Úsporná_opatření[Podíl dotace '[%']],"&gt;0")</f>
        <v>800</v>
      </c>
      <c r="O73" s="55">
        <f>SUMIFS(Úsporná_opatření[Investice '[Kč/GJ']],Úsporná_opatření[Sektor],$B73,Úsporná_opatření[Opatření],$B72,Úsporná_opatření[Typ],O$7,Úsporná_opatření[Podíl dotace '[%']],"&gt;0")</f>
        <v>1000</v>
      </c>
      <c r="P73" s="10"/>
      <c r="R73" s="2"/>
    </row>
    <row r="74" spans="1:21" x14ac:dyDescent="0.25">
      <c r="A74" s="50" t="s">
        <v>310</v>
      </c>
      <c r="B74" s="62">
        <v>0.1</v>
      </c>
      <c r="C74" s="24"/>
      <c r="D74" s="14" t="str">
        <f>IF(($B$9+$B$22+$B$35+$B$48+$B$74+$B$61+$B$87+$B$100+$B$113+$B$126)&lt;&gt;1,"Podíly na alokaci programu není v součtu 100%","")</f>
        <v/>
      </c>
      <c r="L74" t="s">
        <v>355</v>
      </c>
      <c r="M74" s="56">
        <f>SUMIFS(Úsporná_opatření[Podíl dotace '[%']],Úsporná_opatření[Sektor],$B73,Úsporná_opatření[Opatření],$B72,Úsporná_opatření[Typ],M$7,Úsporná_opatření[Podíl dotace '[%']],"&gt;0")</f>
        <v>0.18</v>
      </c>
      <c r="N74" s="56">
        <f>SUMIFS(Úsporná_opatření[Podíl dotace '[%']],Úsporná_opatření[Sektor],$B73,Úsporná_opatření[Opatření],$B72,Úsporná_opatření[Typ],N$7,Úsporná_opatření[Podíl dotace '[%']],"&gt;0")</f>
        <v>0.3</v>
      </c>
      <c r="O74" s="56">
        <f>SUMIFS(Úsporná_opatření[Podíl dotace '[%']],Úsporná_opatření[Sektor],$B73,Úsporná_opatření[Opatření],$B72,Úsporná_opatření[Typ],O$7,Úsporná_opatření[Podíl dotace '[%']],"&gt;0")</f>
        <v>0.45</v>
      </c>
      <c r="P74" s="10"/>
      <c r="R74" s="1" t="s">
        <v>351</v>
      </c>
      <c r="S74" s="1" t="s">
        <v>352</v>
      </c>
      <c r="T74" s="1" t="s">
        <v>353</v>
      </c>
      <c r="U74" s="1" t="s">
        <v>363</v>
      </c>
    </row>
    <row r="75" spans="1:21" x14ac:dyDescent="0.25">
      <c r="A75" s="50"/>
      <c r="B75" s="57">
        <f>B74*$B$3</f>
        <v>2.31</v>
      </c>
      <c r="C75" s="24" t="s">
        <v>293</v>
      </c>
      <c r="P75" s="10"/>
      <c r="Q75" t="s">
        <v>365</v>
      </c>
      <c r="R75" s="56">
        <f>IF($B76&lt;=M74-Tolerance,0,IF($B76&gt;=M74+Tolerance,1,($B76-(M74-Tolerance))/(2*Tolerance)))</f>
        <v>0.60000000000000009</v>
      </c>
      <c r="S75" s="56">
        <f>IF($B76&lt;=N74-Tolerance,0,IF($B76&gt;=N74+Tolerance,1,($B76-(N74-Tolerance))/(2*Tolerance)))</f>
        <v>0</v>
      </c>
      <c r="T75" s="56">
        <f>IF($B76&lt;=O74-Tolerance,0,IF($B76&gt;=O74+Tolerance,1,($B76-(O74-Tolerance))/(2*Tolerance)))</f>
        <v>0</v>
      </c>
    </row>
    <row r="76" spans="1:21" x14ac:dyDescent="0.25">
      <c r="A76" s="50" t="s">
        <v>297</v>
      </c>
      <c r="B76" s="62">
        <v>0.2</v>
      </c>
      <c r="C76" s="24"/>
      <c r="D76" s="14" t="str">
        <f>IF(B77=0,"Podíl dotace na investičních výdajích je příliš nízký","")</f>
        <v/>
      </c>
    </row>
    <row r="77" spans="1:21" x14ac:dyDescent="0.25">
      <c r="A77" s="50" t="s">
        <v>313</v>
      </c>
      <c r="B77" s="63">
        <f>U77/1000000000</f>
        <v>1.1448000000000002E-2</v>
      </c>
      <c r="C77" s="24" t="s">
        <v>293</v>
      </c>
      <c r="D77" s="14" t="str">
        <f>IF(B77&lt;B75-Tolerance,"Alokace nebude pravděpodobně vyčerpána",IF(B77&gt;B75+Tolerance,"Alokace bude pravděpodobně přečerpána","Alokace bude pravděpodobně vyčerpána"))</f>
        <v>Alokace nebude pravděpodobně vyčerpána</v>
      </c>
      <c r="E77" s="14"/>
      <c r="L77" t="s">
        <v>364</v>
      </c>
      <c r="M77" s="55">
        <f>SUMIFS(Úsporná_opatření[Dotace],Úsporná_opatření[Sektor],$B73,Úsporná_opatření[Opatření],$B72,Úsporná_opatření[Typ],M$7,Úsporná_opatření[Podíl dotace '[%']],"&gt;0")</f>
        <v>19080000</v>
      </c>
      <c r="N77" s="55">
        <f>SUMIFS(Úsporná_opatření[Dotace],Úsporná_opatření[Sektor],$B73,Úsporná_opatření[Opatření],$B72,Úsporná_opatření[Typ],N$7,Úsporná_opatření[Podíl dotace '[%']],"&gt;0")</f>
        <v>151200000</v>
      </c>
      <c r="O77" s="55">
        <f>SUMIFS(Úsporná_opatření[Dotace],Úsporná_opatření[Sektor],$B73,Úsporná_opatření[Opatření],$B72,Úsporná_opatření[Typ],O$7,Úsporná_opatření[Podíl dotace '[%']],"&gt;0")</f>
        <v>147150000</v>
      </c>
      <c r="Q77" t="s">
        <v>364</v>
      </c>
      <c r="R77" s="55">
        <f>R75*M77</f>
        <v>11448000.000000002</v>
      </c>
      <c r="S77" s="55">
        <f>S75*N77</f>
        <v>0</v>
      </c>
      <c r="T77" s="55">
        <f>T75*O77</f>
        <v>0</v>
      </c>
      <c r="U77" s="55">
        <f>SUM(R77:T77)</f>
        <v>11448000.000000002</v>
      </c>
    </row>
    <row r="78" spans="1:21" ht="30" x14ac:dyDescent="0.25">
      <c r="A78" s="51" t="s">
        <v>323</v>
      </c>
      <c r="B78" s="46">
        <f>U78/1000000000</f>
        <v>6.3600000000000004E-2</v>
      </c>
      <c r="C78" s="24" t="s">
        <v>293</v>
      </c>
      <c r="D78" s="14"/>
      <c r="E78" s="14"/>
      <c r="L78" t="s">
        <v>357</v>
      </c>
      <c r="M78" s="55">
        <f>SUMIFS(Úsporná_opatření[Investice],Úsporná_opatření[Sektor],$B73,Úsporná_opatření[Opatření],$B72,Úsporná_opatření[Typ],M$7,Úsporná_opatření[Podíl dotace '[%']],"&gt;0")</f>
        <v>106000000</v>
      </c>
      <c r="N78" s="55">
        <f>SUMIFS(Úsporná_opatření[Investice],Úsporná_opatření[Sektor],$B73,Úsporná_opatření[Opatření],$B72,Úsporná_opatření[Typ],N$7,Úsporná_opatření[Podíl dotace '[%']],"&gt;0")</f>
        <v>504000000</v>
      </c>
      <c r="O78" s="55">
        <f>SUMIFS(Úsporná_opatření[Investice],Úsporná_opatření[Sektor],$B73,Úsporná_opatření[Opatření],$B72,Úsporná_opatření[Typ],O$7,Úsporná_opatření[Podíl dotace '[%']],"&gt;0")</f>
        <v>327000000</v>
      </c>
      <c r="P78" s="10"/>
      <c r="Q78" t="s">
        <v>357</v>
      </c>
      <c r="R78" s="55">
        <f>M78*R75</f>
        <v>63600000.000000007</v>
      </c>
      <c r="S78" s="55">
        <f>N78*S75</f>
        <v>0</v>
      </c>
      <c r="T78" s="55">
        <f>O78*T75</f>
        <v>0</v>
      </c>
      <c r="U78" s="55">
        <f>SUM(R78:T78)</f>
        <v>63600000.000000007</v>
      </c>
    </row>
    <row r="79" spans="1:21" x14ac:dyDescent="0.25">
      <c r="A79" s="50" t="s">
        <v>294</v>
      </c>
      <c r="B79" s="46">
        <f>U79/1000*0.7</f>
        <v>8.9039999999999994E-2</v>
      </c>
      <c r="C79" s="24" t="s">
        <v>298</v>
      </c>
      <c r="L79" t="s">
        <v>356</v>
      </c>
      <c r="M79" s="55">
        <f>SUMIFS(Úsporná_opatření[Potenciál úspor energie v TJ],Úsporná_opatření[Sektor],$B73,Úsporná_opatření[Opatření],$B72,Úsporná_opatření[Typ],M$7,Úsporná_opatření[Podíl dotace '[%']],"&gt;0")</f>
        <v>212</v>
      </c>
      <c r="N79" s="55">
        <f>SUMIFS(Úsporná_opatření[Potenciál úspor energie v TJ],Úsporná_opatření[Sektor],$B73,Úsporná_opatření[Opatření],$B72,Úsporná_opatření[Typ],N$7,Úsporná_opatření[Podíl dotace '[%']],"&gt;0")</f>
        <v>630</v>
      </c>
      <c r="O79" s="55">
        <f>SUMIFS(Úsporná_opatření[Potenciál úspor energie v TJ],Úsporná_opatření[Sektor],$B73,Úsporná_opatření[Opatření],$B72,Úsporná_opatření[Typ],O$7,Úsporná_opatření[Podíl dotace '[%']],"&gt;0")</f>
        <v>327</v>
      </c>
      <c r="Q79" t="s">
        <v>356</v>
      </c>
      <c r="R79" s="55">
        <f>R75*M79</f>
        <v>127.20000000000002</v>
      </c>
      <c r="S79" s="55">
        <f t="shared" ref="S79" si="19">S75*N79</f>
        <v>0</v>
      </c>
      <c r="T79" s="55">
        <f t="shared" ref="T79" si="20">T75*O79</f>
        <v>0</v>
      </c>
      <c r="U79" s="55">
        <f>SUM(R79:T79)</f>
        <v>127.20000000000002</v>
      </c>
    </row>
    <row r="80" spans="1:21" ht="18" x14ac:dyDescent="0.35">
      <c r="A80" s="50" t="s">
        <v>309</v>
      </c>
      <c r="B80" s="47">
        <f>U80*0.7</f>
        <v>6796.5230628857908</v>
      </c>
      <c r="C80" s="24" t="s">
        <v>303</v>
      </c>
      <c r="L80" t="s">
        <v>359</v>
      </c>
      <c r="M80" s="55">
        <f>SUMIFS(Úsporná_opatření[Úspora emisí CO2 '[t']],Úsporná_opatření[Sektor],$B73,Úsporná_opatření[Opatření],$B72,Úsporná_opatření[Typ],M$7,Úsporná_opatření[Podíl dotace '[%']],"&gt;0")</f>
        <v>16182.19776877569</v>
      </c>
      <c r="N80" s="55">
        <f>SUMIFS(Úsporná_opatření[Úspora emisí CO2 '[t']],Úsporná_opatření[Sektor],$B73,Úsporná_opatření[Opatření],$B72,Úsporná_opatření[Typ],N$7,Úsporná_opatření[Podíl dotace '[%']],"&gt;0")</f>
        <v>48088.606577022096</v>
      </c>
      <c r="O80" s="55">
        <f>SUMIFS(Úsporná_opatření[Úspora emisí CO2 '[t']],Úsporná_opatření[Sektor],$B73,Úsporná_opatření[Opatření],$B72,Úsporná_opatření[Typ],O$7,Úsporná_opatření[Podíl dotace '[%']],"&gt;0")</f>
        <v>24960.276747120992</v>
      </c>
      <c r="P80" s="10"/>
      <c r="Q80" t="s">
        <v>359</v>
      </c>
      <c r="R80" s="55">
        <f>R75*M80</f>
        <v>9709.3186612654154</v>
      </c>
      <c r="S80" s="55">
        <f>S75*N80</f>
        <v>0</v>
      </c>
      <c r="T80" s="55">
        <f>T75*O80</f>
        <v>0</v>
      </c>
      <c r="U80" s="55">
        <f>SUM(R80:T80)</f>
        <v>9709.3186612654154</v>
      </c>
    </row>
    <row r="81" spans="1:21" ht="18" x14ac:dyDescent="0.35">
      <c r="A81" s="50" t="s">
        <v>308</v>
      </c>
      <c r="B81" s="47">
        <f t="shared" ref="B81:B83" si="21">U81*0.7</f>
        <v>666.14310572101749</v>
      </c>
      <c r="C81" s="24" t="s">
        <v>299</v>
      </c>
      <c r="L81" t="s">
        <v>360</v>
      </c>
      <c r="M81" s="55">
        <f>SUMIFS(Úsporná_opatření[Úspora emisí CH4 '[kg']],Úsporná_opatření[Sektor],$B73,Úsporná_opatření[Opatření],$B72,Úsporná_opatření[Typ],M$7,Úsporná_opatření[Podíl dotace '[%']],"&gt;0")</f>
        <v>1586.0550136214699</v>
      </c>
      <c r="N81" s="55">
        <f>SUMIFS(Úsporná_opatření[Úspora emisí CH4 '[kg']],Úsporná_opatření[Sektor],$B73,Úsporná_opatření[Opatření],$B72,Úsporná_opatření[Typ],N$7,Úsporná_opatření[Podíl dotace '[%']],"&gt;0")</f>
        <v>4713.276691422293</v>
      </c>
      <c r="O81" s="55">
        <f>SUMIFS(Úsporná_opatření[Úspora emisí CH4 '[kg']],Úsporná_opatření[Sektor],$B73,Úsporná_opatření[Opatření],$B72,Úsporná_opatření[Typ],O$7,Úsporná_opatření[Podíl dotace '[%']],"&gt;0")</f>
        <v>2446.4150445953806</v>
      </c>
      <c r="P81" s="10"/>
      <c r="Q81" t="s">
        <v>360</v>
      </c>
      <c r="R81" s="55">
        <f>R75*M81</f>
        <v>951.63300817288211</v>
      </c>
      <c r="S81" s="55">
        <f>S75*N81</f>
        <v>0</v>
      </c>
      <c r="T81" s="55">
        <f>T75*O81</f>
        <v>0</v>
      </c>
      <c r="U81" s="55">
        <f t="shared" ref="U81:U83" si="22">SUM(R81:T81)</f>
        <v>951.63300817288211</v>
      </c>
    </row>
    <row r="82" spans="1:21" ht="18" x14ac:dyDescent="0.35">
      <c r="A82" s="50" t="s">
        <v>307</v>
      </c>
      <c r="B82" s="47">
        <f t="shared" si="21"/>
        <v>67.021104097544338</v>
      </c>
      <c r="C82" s="24" t="s">
        <v>299</v>
      </c>
      <c r="L82" t="s">
        <v>361</v>
      </c>
      <c r="M82" s="55">
        <f>SUMIFS(Úsporná_opatření[Úspora emisí N2O '[kg']],Úsporná_opatření[Sektor],$B73,Úsporná_opatření[Opatření],$B72,Úsporná_opatření[Typ],M$7,Úsporná_opatření[Podíl dotace '[%']],"&gt;0")</f>
        <v>159.57405737510555</v>
      </c>
      <c r="N82" s="55">
        <f>SUMIFS(Úsporná_opatření[Úspora emisí N2O '[kg']],Úsporná_opatření[Sektor],$B73,Úsporná_opatření[Opatření],$B72,Úsporná_opatření[Typ],N$7,Úsporná_opatření[Podíl dotace '[%']],"&gt;0")</f>
        <v>474.20592521847408</v>
      </c>
      <c r="O82" s="55">
        <f>SUMIFS(Úsporná_opatření[Úspora emisí N2O '[kg']],Úsporná_opatření[Sektor],$B73,Úsporná_opatření[Opatření],$B72,Úsporná_opatření[Typ],O$7,Úsporná_opatření[Podíl dotace '[%']],"&gt;0")</f>
        <v>246.13545642292226</v>
      </c>
      <c r="P82" s="10"/>
      <c r="Q82" t="s">
        <v>361</v>
      </c>
      <c r="R82" s="55">
        <f>R75*M82</f>
        <v>95.744434425063346</v>
      </c>
      <c r="S82" s="55">
        <f>S75*N82</f>
        <v>0</v>
      </c>
      <c r="T82" s="55">
        <f>T75*O82</f>
        <v>0</v>
      </c>
      <c r="U82" s="55">
        <f t="shared" si="22"/>
        <v>95.744434425063346</v>
      </c>
    </row>
    <row r="83" spans="1:21" ht="18.75" thickBot="1" x14ac:dyDescent="0.4">
      <c r="A83" s="52" t="s">
        <v>306</v>
      </c>
      <c r="B83" s="48">
        <f t="shared" si="21"/>
        <v>6833.1489295498841</v>
      </c>
      <c r="C83" s="25" t="s">
        <v>303</v>
      </c>
      <c r="L83" t="s">
        <v>362</v>
      </c>
      <c r="M83" s="55">
        <f>SUMIFS(Úsporná_opatření[Úspora emisí CO2eq '[t']],Úsporná_opatření[Sektor],$B73,Úsporná_opatření[Opatření],$B72,Úsporná_opatření[Typ],M$7,Úsporná_opatření[Podíl dotace '[%']],"&gt;0")</f>
        <v>16269.402213214007</v>
      </c>
      <c r="N83" s="55">
        <f>SUMIFS(Úsporná_opatření[Úspora emisí CO2eq '[t']],Úsporná_opatření[Sektor],$B73,Úsporná_opatření[Opatření],$B72,Úsporná_opatření[Typ],N$7,Úsporná_opatření[Podíl dotace '[%']],"&gt;0")</f>
        <v>48347.751860022756</v>
      </c>
      <c r="O83" s="55">
        <f>SUMIFS(Úsporná_opatření[Úspora emisí CO2eq '[t']],Úsporná_opatření[Sektor],$B73,Úsporná_opatření[Opatření],$B72,Úsporná_opatření[Typ],O$7,Úsporná_opatření[Podíl dotace '[%']],"&gt;0")</f>
        <v>25094.785489249905</v>
      </c>
      <c r="P83" s="10"/>
      <c r="Q83" t="s">
        <v>362</v>
      </c>
      <c r="R83" s="55">
        <f>R75*M83</f>
        <v>9761.6413279284061</v>
      </c>
      <c r="S83" s="55">
        <f>S75*N83</f>
        <v>0</v>
      </c>
      <c r="T83" s="55">
        <f>T75*O83</f>
        <v>0</v>
      </c>
      <c r="U83" s="55">
        <f t="shared" si="22"/>
        <v>9761.6413279284061</v>
      </c>
    </row>
    <row r="84" spans="1:21" ht="15.75" thickBot="1" x14ac:dyDescent="0.3">
      <c r="A84" s="17"/>
      <c r="B84" s="18"/>
      <c r="C84" s="17"/>
    </row>
    <row r="85" spans="1:21" x14ac:dyDescent="0.25">
      <c r="A85" s="43" t="s">
        <v>340</v>
      </c>
      <c r="B85" s="60"/>
      <c r="C85" s="23"/>
      <c r="D85" s="22" t="str">
        <f>IF(D86=TRUE,"Zadejte jinou kombinaci sektoru a opatření","")</f>
        <v>Zadejte jinou kombinaci sektoru a opatření</v>
      </c>
      <c r="M85" s="1" t="s">
        <v>351</v>
      </c>
      <c r="N85" s="1" t="s">
        <v>352</v>
      </c>
      <c r="O85" s="1" t="s">
        <v>353</v>
      </c>
      <c r="P85" s="10"/>
      <c r="R85" s="1"/>
      <c r="S85" s="1"/>
      <c r="T85" s="1"/>
      <c r="U85" s="1"/>
    </row>
    <row r="86" spans="1:21" x14ac:dyDescent="0.25">
      <c r="A86" s="49" t="s">
        <v>35</v>
      </c>
      <c r="B86" s="61"/>
      <c r="C86" s="24"/>
      <c r="D86" s="21" t="b">
        <f>ISERROR(VLOOKUP(CONCATENATE(B86,B85),Úsporná_opatření[[Sloupec1]:[Investice '[Kč/GJ']]],2,0))</f>
        <v>1</v>
      </c>
      <c r="L86" t="s">
        <v>354</v>
      </c>
      <c r="M86" s="55">
        <f>SUMIFS(Úsporná_opatření[Investice '[Kč/GJ']],Úsporná_opatření[Sektor],$B86,Úsporná_opatření[Opatření],$B85,Úsporná_opatření[Typ],M$7,Úsporná_opatření[Podíl dotace '[%']],"&gt;0")</f>
        <v>0</v>
      </c>
      <c r="N86" s="55">
        <f>SUMIFS(Úsporná_opatření[Investice '[Kč/GJ']],Úsporná_opatření[Sektor],$B86,Úsporná_opatření[Opatření],$B85,Úsporná_opatření[Typ],N$7,Úsporná_opatření[Podíl dotace '[%']],"&gt;0")</f>
        <v>0</v>
      </c>
      <c r="O86" s="55">
        <f>SUMIFS(Úsporná_opatření[Investice '[Kč/GJ']],Úsporná_opatření[Sektor],$B86,Úsporná_opatření[Opatření],$B85,Úsporná_opatření[Typ],O$7,Úsporná_opatření[Podíl dotace '[%']],"&gt;0")</f>
        <v>0</v>
      </c>
      <c r="P86" s="10"/>
      <c r="R86" s="2"/>
    </row>
    <row r="87" spans="1:21" x14ac:dyDescent="0.25">
      <c r="A87" s="50" t="s">
        <v>310</v>
      </c>
      <c r="B87" s="62"/>
      <c r="C87" s="24"/>
      <c r="D87" s="14" t="str">
        <f>IF(($B$9+$B$22+$B$35+$B$48+$B$74+$B$61+$B$87+$B$100+$B$113+$B$126)&lt;&gt;1,"Podíly na alokaci programu není v součtu 100%","")</f>
        <v/>
      </c>
      <c r="L87" t="s">
        <v>355</v>
      </c>
      <c r="M87" s="56">
        <f>SUMIFS(Úsporná_opatření[Podíl dotace '[%']],Úsporná_opatření[Sektor],$B86,Úsporná_opatření[Opatření],$B85,Úsporná_opatření[Typ],M$7,Úsporná_opatření[Podíl dotace '[%']],"&gt;0")</f>
        <v>0</v>
      </c>
      <c r="N87" s="56">
        <f>SUMIFS(Úsporná_opatření[Podíl dotace '[%']],Úsporná_opatření[Sektor],$B86,Úsporná_opatření[Opatření],$B85,Úsporná_opatření[Typ],N$7,Úsporná_opatření[Podíl dotace '[%']],"&gt;0")</f>
        <v>0</v>
      </c>
      <c r="O87" s="56">
        <f>SUMIFS(Úsporná_opatření[Podíl dotace '[%']],Úsporná_opatření[Sektor],$B86,Úsporná_opatření[Opatření],$B85,Úsporná_opatření[Typ],O$7,Úsporná_opatření[Podíl dotace '[%']],"&gt;0")</f>
        <v>0</v>
      </c>
      <c r="P87" s="10"/>
      <c r="R87" s="1" t="s">
        <v>351</v>
      </c>
      <c r="S87" s="1" t="s">
        <v>352</v>
      </c>
      <c r="T87" s="1" t="s">
        <v>353</v>
      </c>
      <c r="U87" s="1" t="s">
        <v>363</v>
      </c>
    </row>
    <row r="88" spans="1:21" x14ac:dyDescent="0.25">
      <c r="A88" s="50"/>
      <c r="B88" s="57">
        <f>B87*$B$3</f>
        <v>0</v>
      </c>
      <c r="C88" s="24" t="s">
        <v>293</v>
      </c>
      <c r="P88" s="10"/>
      <c r="Q88" t="s">
        <v>365</v>
      </c>
      <c r="R88" s="56">
        <f>IF($B89&lt;=M87-Tolerance,0,IF($B89&gt;=M87+Tolerance,1,($B89-(M87-Tolerance))/(2*Tolerance)))</f>
        <v>0.5</v>
      </c>
      <c r="S88" s="56">
        <f>IF($B89&lt;=N87-Tolerance,0,IF($B89&gt;=N87+Tolerance,1,($B89-(N87-Tolerance))/(2*Tolerance)))</f>
        <v>0.5</v>
      </c>
      <c r="T88" s="56">
        <f>IF($B89&lt;=O87-Tolerance,0,IF($B89&gt;=O87+Tolerance,1,($B89-(O87-Tolerance))/(2*Tolerance)))</f>
        <v>0.5</v>
      </c>
    </row>
    <row r="89" spans="1:21" x14ac:dyDescent="0.25">
      <c r="A89" s="50" t="s">
        <v>297</v>
      </c>
      <c r="B89" s="62"/>
      <c r="C89" s="24"/>
      <c r="D89" s="14" t="str">
        <f>IF(B90=0,"Podíl dotace na investičních výdajích je příliš nízký","")</f>
        <v>Podíl dotace na investičních výdajích je příliš nízký</v>
      </c>
    </row>
    <row r="90" spans="1:21" x14ac:dyDescent="0.25">
      <c r="A90" s="50" t="s">
        <v>313</v>
      </c>
      <c r="B90" s="63">
        <f>U90/1000000000</f>
        <v>0</v>
      </c>
      <c r="C90" s="24" t="s">
        <v>293</v>
      </c>
      <c r="D90" s="14" t="str">
        <f>IF(B90&lt;B88-Tolerance,"Alokace nebude pravděpodobně vyčerpána",IF(B90&gt;B88+Tolerance,"Alokace bude pravděpodobně přečerpána","Alokace bude pravděpodobně vyčerpána"))</f>
        <v>Alokace bude pravděpodobně vyčerpána</v>
      </c>
      <c r="L90" t="s">
        <v>364</v>
      </c>
      <c r="M90" s="55">
        <f>SUMIFS(Úsporná_opatření[Dotace],Úsporná_opatření[Sektor],$B86,Úsporná_opatření[Opatření],$B85,Úsporná_opatření[Typ],M$7,Úsporná_opatření[Podíl dotace '[%']],"&gt;0")</f>
        <v>0</v>
      </c>
      <c r="N90" s="55">
        <f>SUMIFS(Úsporná_opatření[Dotace],Úsporná_opatření[Sektor],$B86,Úsporná_opatření[Opatření],$B85,Úsporná_opatření[Typ],N$7,Úsporná_opatření[Podíl dotace '[%']],"&gt;0")</f>
        <v>0</v>
      </c>
      <c r="O90" s="55">
        <f>SUMIFS(Úsporná_opatření[Dotace],Úsporná_opatření[Sektor],$B86,Úsporná_opatření[Opatření],$B85,Úsporná_opatření[Typ],O$7,Úsporná_opatření[Podíl dotace '[%']],"&gt;0")</f>
        <v>0</v>
      </c>
      <c r="Q90" t="s">
        <v>364</v>
      </c>
      <c r="R90" s="55">
        <f>R88*M90</f>
        <v>0</v>
      </c>
      <c r="S90" s="55">
        <f>S88*N90</f>
        <v>0</v>
      </c>
      <c r="T90" s="55">
        <f>T88*O90</f>
        <v>0</v>
      </c>
      <c r="U90" s="55">
        <f>SUM(R90:T90)</f>
        <v>0</v>
      </c>
    </row>
    <row r="91" spans="1:21" ht="30" x14ac:dyDescent="0.25">
      <c r="A91" s="51" t="s">
        <v>323</v>
      </c>
      <c r="B91" s="46">
        <f>U91/1000000000</f>
        <v>0</v>
      </c>
      <c r="C91" s="24" t="s">
        <v>293</v>
      </c>
      <c r="D91" s="14"/>
      <c r="L91" t="s">
        <v>357</v>
      </c>
      <c r="M91" s="55">
        <f>SUMIFS(Úsporná_opatření[Investice],Úsporná_opatření[Sektor],$B86,Úsporná_opatření[Opatření],$B85,Úsporná_opatření[Typ],M$7,Úsporná_opatření[Podíl dotace '[%']],"&gt;0")</f>
        <v>0</v>
      </c>
      <c r="N91" s="55">
        <f>SUMIFS(Úsporná_opatření[Investice],Úsporná_opatření[Sektor],$B86,Úsporná_opatření[Opatření],$B85,Úsporná_opatření[Typ],N$7,Úsporná_opatření[Podíl dotace '[%']],"&gt;0")</f>
        <v>0</v>
      </c>
      <c r="O91" s="55">
        <f>SUMIFS(Úsporná_opatření[Investice],Úsporná_opatření[Sektor],$B86,Úsporná_opatření[Opatření],$B85,Úsporná_opatření[Typ],O$7,Úsporná_opatření[Podíl dotace '[%']],"&gt;0")</f>
        <v>0</v>
      </c>
      <c r="P91" s="10"/>
      <c r="Q91" t="s">
        <v>357</v>
      </c>
      <c r="R91" s="55">
        <f>M91*R88</f>
        <v>0</v>
      </c>
      <c r="S91" s="55">
        <f>N91*S88</f>
        <v>0</v>
      </c>
      <c r="T91" s="55">
        <f>O91*T88</f>
        <v>0</v>
      </c>
      <c r="U91" s="55">
        <f>SUM(R91:T91)</f>
        <v>0</v>
      </c>
    </row>
    <row r="92" spans="1:21" x14ac:dyDescent="0.25">
      <c r="A92" s="50" t="s">
        <v>294</v>
      </c>
      <c r="B92" s="46">
        <f>U92/1000*0.7</f>
        <v>0</v>
      </c>
      <c r="C92" s="24" t="s">
        <v>298</v>
      </c>
      <c r="L92" t="s">
        <v>356</v>
      </c>
      <c r="M92" s="55">
        <f>SUMIFS(Úsporná_opatření[Potenciál úspor energie v TJ],Úsporná_opatření[Sektor],$B86,Úsporná_opatření[Opatření],$B85,Úsporná_opatření[Typ],M$7,Úsporná_opatření[Podíl dotace '[%']],"&gt;0")</f>
        <v>0</v>
      </c>
      <c r="N92" s="55">
        <f>SUMIFS(Úsporná_opatření[Potenciál úspor energie v TJ],Úsporná_opatření[Sektor],$B86,Úsporná_opatření[Opatření],$B85,Úsporná_opatření[Typ],N$7,Úsporná_opatření[Podíl dotace '[%']],"&gt;0")</f>
        <v>0</v>
      </c>
      <c r="O92" s="55">
        <f>SUMIFS(Úsporná_opatření[Potenciál úspor energie v TJ],Úsporná_opatření[Sektor],$B86,Úsporná_opatření[Opatření],$B85,Úsporná_opatření[Typ],O$7,Úsporná_opatření[Podíl dotace '[%']],"&gt;0")</f>
        <v>0</v>
      </c>
      <c r="Q92" t="s">
        <v>356</v>
      </c>
      <c r="R92" s="55">
        <f>R88*M92</f>
        <v>0</v>
      </c>
      <c r="S92" s="55">
        <f t="shared" ref="S92" si="23">S88*N92</f>
        <v>0</v>
      </c>
      <c r="T92" s="55">
        <f t="shared" ref="T92" si="24">T88*O92</f>
        <v>0</v>
      </c>
      <c r="U92" s="55">
        <f>SUM(R92:T92)</f>
        <v>0</v>
      </c>
    </row>
    <row r="93" spans="1:21" ht="18" x14ac:dyDescent="0.35">
      <c r="A93" s="50" t="s">
        <v>309</v>
      </c>
      <c r="B93" s="47">
        <f>U93*0.7</f>
        <v>0</v>
      </c>
      <c r="C93" s="24" t="s">
        <v>303</v>
      </c>
      <c r="L93" t="s">
        <v>359</v>
      </c>
      <c r="M93" s="55">
        <f>SUMIFS(Úsporná_opatření[Úspora emisí CO2 '[t']],Úsporná_opatření[Sektor],$B86,Úsporná_opatření[Opatření],$B85,Úsporná_opatření[Typ],M$7,Úsporná_opatření[Podíl dotace '[%']],"&gt;0")</f>
        <v>0</v>
      </c>
      <c r="N93" s="55">
        <f>SUMIFS(Úsporná_opatření[Úspora emisí CO2 '[t']],Úsporná_opatření[Sektor],$B86,Úsporná_opatření[Opatření],$B85,Úsporná_opatření[Typ],N$7,Úsporná_opatření[Podíl dotace '[%']],"&gt;0")</f>
        <v>0</v>
      </c>
      <c r="O93" s="55">
        <f>SUMIFS(Úsporná_opatření[Úspora emisí CO2 '[t']],Úsporná_opatření[Sektor],$B86,Úsporná_opatření[Opatření],$B85,Úsporná_opatření[Typ],O$7,Úsporná_opatření[Podíl dotace '[%']],"&gt;0")</f>
        <v>0</v>
      </c>
      <c r="P93" s="10"/>
      <c r="Q93" t="s">
        <v>359</v>
      </c>
      <c r="R93" s="55">
        <f>R88*M93</f>
        <v>0</v>
      </c>
      <c r="S93" s="55">
        <f>S88*N93</f>
        <v>0</v>
      </c>
      <c r="T93" s="55">
        <f>T88*O93</f>
        <v>0</v>
      </c>
      <c r="U93" s="55">
        <f>SUM(R93:T93)</f>
        <v>0</v>
      </c>
    </row>
    <row r="94" spans="1:21" ht="18" x14ac:dyDescent="0.35">
      <c r="A94" s="50" t="s">
        <v>308</v>
      </c>
      <c r="B94" s="47">
        <f t="shared" ref="B94:B96" si="25">U94*0.7</f>
        <v>0</v>
      </c>
      <c r="C94" s="24" t="s">
        <v>299</v>
      </c>
      <c r="L94" t="s">
        <v>360</v>
      </c>
      <c r="M94" s="55">
        <f>SUMIFS(Úsporná_opatření[Úspora emisí CH4 '[kg']],Úsporná_opatření[Sektor],$B86,Úsporná_opatření[Opatření],$B85,Úsporná_opatření[Typ],M$7,Úsporná_opatření[Podíl dotace '[%']],"&gt;0")</f>
        <v>0</v>
      </c>
      <c r="N94" s="55">
        <f>SUMIFS(Úsporná_opatření[Úspora emisí CH4 '[kg']],Úsporná_opatření[Sektor],$B86,Úsporná_opatření[Opatření],$B85,Úsporná_opatření[Typ],N$7,Úsporná_opatření[Podíl dotace '[%']],"&gt;0")</f>
        <v>0</v>
      </c>
      <c r="O94" s="55">
        <f>SUMIFS(Úsporná_opatření[Úspora emisí CH4 '[kg']],Úsporná_opatření[Sektor],$B86,Úsporná_opatření[Opatření],$B85,Úsporná_opatření[Typ],O$7,Úsporná_opatření[Podíl dotace '[%']],"&gt;0")</f>
        <v>0</v>
      </c>
      <c r="P94" s="10"/>
      <c r="Q94" t="s">
        <v>360</v>
      </c>
      <c r="R94" s="55">
        <f>R88*M94</f>
        <v>0</v>
      </c>
      <c r="S94" s="55">
        <f>S88*N94</f>
        <v>0</v>
      </c>
      <c r="T94" s="55">
        <f>T88*O94</f>
        <v>0</v>
      </c>
      <c r="U94" s="55">
        <f t="shared" ref="U94:U96" si="26">SUM(R94:T94)</f>
        <v>0</v>
      </c>
    </row>
    <row r="95" spans="1:21" ht="18" x14ac:dyDescent="0.35">
      <c r="A95" s="50" t="s">
        <v>307</v>
      </c>
      <c r="B95" s="47">
        <f t="shared" si="25"/>
        <v>0</v>
      </c>
      <c r="C95" s="24" t="s">
        <v>299</v>
      </c>
      <c r="L95" t="s">
        <v>361</v>
      </c>
      <c r="M95" s="55">
        <f>SUMIFS(Úsporná_opatření[Úspora emisí N2O '[kg']],Úsporná_opatření[Sektor],$B86,Úsporná_opatření[Opatření],$B85,Úsporná_opatření[Typ],M$7,Úsporná_opatření[Podíl dotace '[%']],"&gt;0")</f>
        <v>0</v>
      </c>
      <c r="N95" s="55">
        <f>SUMIFS(Úsporná_opatření[Úspora emisí N2O '[kg']],Úsporná_opatření[Sektor],$B86,Úsporná_opatření[Opatření],$B85,Úsporná_opatření[Typ],N$7,Úsporná_opatření[Podíl dotace '[%']],"&gt;0")</f>
        <v>0</v>
      </c>
      <c r="O95" s="55">
        <f>SUMIFS(Úsporná_opatření[Úspora emisí N2O '[kg']],Úsporná_opatření[Sektor],$B86,Úsporná_opatření[Opatření],$B85,Úsporná_opatření[Typ],O$7,Úsporná_opatření[Podíl dotace '[%']],"&gt;0")</f>
        <v>0</v>
      </c>
      <c r="P95" s="10"/>
      <c r="Q95" t="s">
        <v>361</v>
      </c>
      <c r="R95" s="55">
        <f>R88*M95</f>
        <v>0</v>
      </c>
      <c r="S95" s="55">
        <f>S88*N95</f>
        <v>0</v>
      </c>
      <c r="T95" s="55">
        <f>T88*O95</f>
        <v>0</v>
      </c>
      <c r="U95" s="55">
        <f t="shared" si="26"/>
        <v>0</v>
      </c>
    </row>
    <row r="96" spans="1:21" ht="18.75" thickBot="1" x14ac:dyDescent="0.4">
      <c r="A96" s="52" t="s">
        <v>306</v>
      </c>
      <c r="B96" s="48">
        <f t="shared" si="25"/>
        <v>0</v>
      </c>
      <c r="C96" s="25" t="s">
        <v>303</v>
      </c>
      <c r="L96" t="s">
        <v>362</v>
      </c>
      <c r="M96" s="55">
        <f>SUMIFS(Úsporná_opatření[Úspora emisí CO2eq '[t']],Úsporná_opatření[Sektor],$B86,Úsporná_opatření[Opatření],$B85,Úsporná_opatření[Typ],M$7,Úsporná_opatření[Podíl dotace '[%']],"&gt;0")</f>
        <v>0</v>
      </c>
      <c r="N96" s="55">
        <f>SUMIFS(Úsporná_opatření[Úspora emisí CO2eq '[t']],Úsporná_opatření[Sektor],$B86,Úsporná_opatření[Opatření],$B85,Úsporná_opatření[Typ],N$7,Úsporná_opatření[Podíl dotace '[%']],"&gt;0")</f>
        <v>0</v>
      </c>
      <c r="O96" s="55">
        <f>SUMIFS(Úsporná_opatření[Úspora emisí CO2eq '[t']],Úsporná_opatření[Sektor],$B86,Úsporná_opatření[Opatření],$B85,Úsporná_opatření[Typ],O$7,Úsporná_opatření[Podíl dotace '[%']],"&gt;0")</f>
        <v>0</v>
      </c>
      <c r="P96" s="10"/>
      <c r="Q96" t="s">
        <v>362</v>
      </c>
      <c r="R96" s="55">
        <f>R88*M96</f>
        <v>0</v>
      </c>
      <c r="S96" s="55">
        <f>S88*N96</f>
        <v>0</v>
      </c>
      <c r="T96" s="55">
        <f>T88*O96</f>
        <v>0</v>
      </c>
      <c r="U96" s="55">
        <f t="shared" si="26"/>
        <v>0</v>
      </c>
    </row>
    <row r="97" spans="1:21" ht="15.75" thickBot="1" x14ac:dyDescent="0.3">
      <c r="A97" s="17"/>
      <c r="B97" s="18"/>
      <c r="C97" s="17"/>
    </row>
    <row r="98" spans="1:21" x14ac:dyDescent="0.25">
      <c r="A98" s="43" t="s">
        <v>341</v>
      </c>
      <c r="B98" s="60"/>
      <c r="C98" s="23"/>
      <c r="D98" s="22" t="str">
        <f>IF(D99=TRUE,"Zadejte jinou kombinaci sektoru a opatření","")</f>
        <v>Zadejte jinou kombinaci sektoru a opatření</v>
      </c>
      <c r="M98" s="1" t="s">
        <v>351</v>
      </c>
      <c r="N98" s="1" t="s">
        <v>352</v>
      </c>
      <c r="O98" s="1" t="s">
        <v>353</v>
      </c>
      <c r="P98" s="10"/>
      <c r="R98" s="1"/>
      <c r="S98" s="1"/>
      <c r="T98" s="1"/>
      <c r="U98" s="1"/>
    </row>
    <row r="99" spans="1:21" x14ac:dyDescent="0.25">
      <c r="A99" s="49" t="s">
        <v>35</v>
      </c>
      <c r="B99" s="61"/>
      <c r="C99" s="24"/>
      <c r="D99" s="21" t="b">
        <f>ISERROR(VLOOKUP(CONCATENATE(B99,B98),Úsporná_opatření[[Sloupec1]:[Investice '[Kč/GJ']]],2,0))</f>
        <v>1</v>
      </c>
      <c r="L99" t="s">
        <v>354</v>
      </c>
      <c r="M99" s="55">
        <f>SUMIFS(Úsporná_opatření[Investice '[Kč/GJ']],Úsporná_opatření[Sektor],$B99,Úsporná_opatření[Opatření],$B98,Úsporná_opatření[Typ],M$7,Úsporná_opatření[Podíl dotace '[%']],"&gt;0")</f>
        <v>0</v>
      </c>
      <c r="N99" s="55">
        <f>SUMIFS(Úsporná_opatření[Investice '[Kč/GJ']],Úsporná_opatření[Sektor],$B99,Úsporná_opatření[Opatření],$B98,Úsporná_opatření[Typ],N$7,Úsporná_opatření[Podíl dotace '[%']],"&gt;0")</f>
        <v>0</v>
      </c>
      <c r="O99" s="55">
        <f>SUMIFS(Úsporná_opatření[Investice '[Kč/GJ']],Úsporná_opatření[Sektor],$B99,Úsporná_opatření[Opatření],$B98,Úsporná_opatření[Typ],O$7,Úsporná_opatření[Podíl dotace '[%']],"&gt;0")</f>
        <v>0</v>
      </c>
      <c r="P99" s="10"/>
      <c r="R99" s="2"/>
    </row>
    <row r="100" spans="1:21" x14ac:dyDescent="0.25">
      <c r="A100" s="50" t="s">
        <v>310</v>
      </c>
      <c r="B100" s="62"/>
      <c r="C100" s="24"/>
      <c r="D100" s="14" t="str">
        <f>IF(($B$9+$B$22+$B$35+$B$48+$B$74+$B$61+$B$87+$B$100+$B$113+$B$126)&lt;&gt;1,"Podíly na alokaci programu není v součtu 100%","")</f>
        <v/>
      </c>
      <c r="L100" t="s">
        <v>355</v>
      </c>
      <c r="M100" s="56">
        <f>SUMIFS(Úsporná_opatření[Podíl dotace '[%']],Úsporná_opatření[Sektor],$B99,Úsporná_opatření[Opatření],$B98,Úsporná_opatření[Typ],M$7,Úsporná_opatření[Podíl dotace '[%']],"&gt;0")</f>
        <v>0</v>
      </c>
      <c r="N100" s="56">
        <f>SUMIFS(Úsporná_opatření[Podíl dotace '[%']],Úsporná_opatření[Sektor],$B99,Úsporná_opatření[Opatření],$B98,Úsporná_opatření[Typ],N$7,Úsporná_opatření[Podíl dotace '[%']],"&gt;0")</f>
        <v>0</v>
      </c>
      <c r="O100" s="56">
        <f>SUMIFS(Úsporná_opatření[Podíl dotace '[%']],Úsporná_opatření[Sektor],$B99,Úsporná_opatření[Opatření],$B98,Úsporná_opatření[Typ],O$7,Úsporná_opatření[Podíl dotace '[%']],"&gt;0")</f>
        <v>0</v>
      </c>
      <c r="P100" s="10"/>
      <c r="R100" s="1" t="s">
        <v>351</v>
      </c>
      <c r="S100" s="1" t="s">
        <v>352</v>
      </c>
      <c r="T100" s="1" t="s">
        <v>353</v>
      </c>
      <c r="U100" s="1" t="s">
        <v>363</v>
      </c>
    </row>
    <row r="101" spans="1:21" x14ac:dyDescent="0.25">
      <c r="A101" s="50"/>
      <c r="B101" s="57">
        <f>B100*$B$3</f>
        <v>0</v>
      </c>
      <c r="C101" s="24" t="s">
        <v>293</v>
      </c>
      <c r="P101" s="10"/>
      <c r="Q101" t="s">
        <v>365</v>
      </c>
      <c r="R101" s="56">
        <f>IF($B102&lt;=M100-Tolerance,0,IF($B102&gt;=M100+Tolerance,1,($B102-(M100-Tolerance))/(2*Tolerance)))</f>
        <v>0.5</v>
      </c>
      <c r="S101" s="56">
        <f>IF($B102&lt;=N100-Tolerance,0,IF($B102&gt;=N100+Tolerance,1,($B102-(N100-Tolerance))/(2*Tolerance)))</f>
        <v>0.5</v>
      </c>
      <c r="T101" s="56">
        <f>IF($B102&lt;=O100-Tolerance,0,IF($B102&gt;=O100+Tolerance,1,($B102-(O100-Tolerance))/(2*Tolerance)))</f>
        <v>0.5</v>
      </c>
    </row>
    <row r="102" spans="1:21" x14ac:dyDescent="0.25">
      <c r="A102" s="50" t="s">
        <v>297</v>
      </c>
      <c r="B102" s="62"/>
      <c r="C102" s="24"/>
      <c r="D102" s="14" t="str">
        <f>IF(B103=0,"Podíl dotace na investičních výdajích je příliš nízký","")</f>
        <v>Podíl dotace na investičních výdajích je příliš nízký</v>
      </c>
    </row>
    <row r="103" spans="1:21" x14ac:dyDescent="0.25">
      <c r="A103" s="50" t="s">
        <v>313</v>
      </c>
      <c r="B103" s="63">
        <f>U103/1000000000</f>
        <v>0</v>
      </c>
      <c r="C103" s="24" t="s">
        <v>293</v>
      </c>
      <c r="D103" s="14" t="str">
        <f>IF(B103&lt;B101-Tolerance,"Alokace nebude pravděpodobně vyčerpána",IF(B103&gt;B101+Tolerance,"Alokace bude pravděpodobně přečerpána","Alokace bude pravděpodobně vyčerpána"))</f>
        <v>Alokace bude pravděpodobně vyčerpána</v>
      </c>
      <c r="L103" t="s">
        <v>364</v>
      </c>
      <c r="M103" s="55">
        <f>SUMIFS(Úsporná_opatření[Dotace],Úsporná_opatření[Sektor],$B99,Úsporná_opatření[Opatření],$B98,Úsporná_opatření[Typ],M$7,Úsporná_opatření[Podíl dotace '[%']],"&gt;0")</f>
        <v>0</v>
      </c>
      <c r="N103" s="55">
        <f>SUMIFS(Úsporná_opatření[Dotace],Úsporná_opatření[Sektor],$B99,Úsporná_opatření[Opatření],$B98,Úsporná_opatření[Typ],N$7,Úsporná_opatření[Podíl dotace '[%']],"&gt;0")</f>
        <v>0</v>
      </c>
      <c r="O103" s="55">
        <f>SUMIFS(Úsporná_opatření[Dotace],Úsporná_opatření[Sektor],$B99,Úsporná_opatření[Opatření],$B98,Úsporná_opatření[Typ],O$7,Úsporná_opatření[Podíl dotace '[%']],"&gt;0")</f>
        <v>0</v>
      </c>
      <c r="Q103" t="s">
        <v>364</v>
      </c>
      <c r="R103" s="55">
        <f>R101*M103</f>
        <v>0</v>
      </c>
      <c r="S103" s="55">
        <f>S101*N103</f>
        <v>0</v>
      </c>
      <c r="T103" s="55">
        <f>T101*O103</f>
        <v>0</v>
      </c>
      <c r="U103" s="55">
        <f>SUM(R103:T103)</f>
        <v>0</v>
      </c>
    </row>
    <row r="104" spans="1:21" ht="30" x14ac:dyDescent="0.25">
      <c r="A104" s="51" t="s">
        <v>323</v>
      </c>
      <c r="B104" s="46">
        <f>U104/1000000000</f>
        <v>0</v>
      </c>
      <c r="C104" s="24" t="s">
        <v>293</v>
      </c>
      <c r="D104" s="14"/>
      <c r="L104" t="s">
        <v>357</v>
      </c>
      <c r="M104" s="55">
        <f>SUMIFS(Úsporná_opatření[Investice],Úsporná_opatření[Sektor],$B99,Úsporná_opatření[Opatření],$B98,Úsporná_opatření[Typ],M$7,Úsporná_opatření[Podíl dotace '[%']],"&gt;0")</f>
        <v>0</v>
      </c>
      <c r="N104" s="55">
        <f>SUMIFS(Úsporná_opatření[Investice],Úsporná_opatření[Sektor],$B99,Úsporná_opatření[Opatření],$B98,Úsporná_opatření[Typ],N$7,Úsporná_opatření[Podíl dotace '[%']],"&gt;0")</f>
        <v>0</v>
      </c>
      <c r="O104" s="55">
        <f>SUMIFS(Úsporná_opatření[Investice],Úsporná_opatření[Sektor],$B99,Úsporná_opatření[Opatření],$B98,Úsporná_opatření[Typ],O$7,Úsporná_opatření[Podíl dotace '[%']],"&gt;0")</f>
        <v>0</v>
      </c>
      <c r="P104" s="10"/>
      <c r="Q104" t="s">
        <v>357</v>
      </c>
      <c r="R104" s="55">
        <f>M104*R101</f>
        <v>0</v>
      </c>
      <c r="S104" s="55">
        <f>N104*S101</f>
        <v>0</v>
      </c>
      <c r="T104" s="55">
        <f>O104*T101</f>
        <v>0</v>
      </c>
      <c r="U104" s="55">
        <f>SUM(R104:T104)</f>
        <v>0</v>
      </c>
    </row>
    <row r="105" spans="1:21" x14ac:dyDescent="0.25">
      <c r="A105" s="50" t="s">
        <v>294</v>
      </c>
      <c r="B105" s="46">
        <f>U105/1000*0.7</f>
        <v>0</v>
      </c>
      <c r="C105" s="24" t="s">
        <v>298</v>
      </c>
      <c r="L105" t="s">
        <v>356</v>
      </c>
      <c r="M105" s="55">
        <f>SUMIFS(Úsporná_opatření[Potenciál úspor energie v TJ],Úsporná_opatření[Sektor],$B99,Úsporná_opatření[Opatření],$B98,Úsporná_opatření[Typ],M$7,Úsporná_opatření[Podíl dotace '[%']],"&gt;0")</f>
        <v>0</v>
      </c>
      <c r="N105" s="55">
        <f>SUMIFS(Úsporná_opatření[Potenciál úspor energie v TJ],Úsporná_opatření[Sektor],$B99,Úsporná_opatření[Opatření],$B98,Úsporná_opatření[Typ],N$7,Úsporná_opatření[Podíl dotace '[%']],"&gt;0")</f>
        <v>0</v>
      </c>
      <c r="O105" s="55">
        <f>SUMIFS(Úsporná_opatření[Potenciál úspor energie v TJ],Úsporná_opatření[Sektor],$B99,Úsporná_opatření[Opatření],$B98,Úsporná_opatření[Typ],O$7,Úsporná_opatření[Podíl dotace '[%']],"&gt;0")</f>
        <v>0</v>
      </c>
      <c r="Q105" t="s">
        <v>356</v>
      </c>
      <c r="R105" s="55">
        <f>R101*M105</f>
        <v>0</v>
      </c>
      <c r="S105" s="55">
        <f t="shared" ref="S105" si="27">S101*N105</f>
        <v>0</v>
      </c>
      <c r="T105" s="55">
        <f t="shared" ref="T105" si="28">T101*O105</f>
        <v>0</v>
      </c>
      <c r="U105" s="55">
        <f>SUM(R105:T105)</f>
        <v>0</v>
      </c>
    </row>
    <row r="106" spans="1:21" ht="18" x14ac:dyDescent="0.35">
      <c r="A106" s="50" t="s">
        <v>309</v>
      </c>
      <c r="B106" s="47">
        <f>U106*0.7</f>
        <v>0</v>
      </c>
      <c r="C106" s="24" t="s">
        <v>303</v>
      </c>
      <c r="L106" t="s">
        <v>359</v>
      </c>
      <c r="M106" s="55">
        <f>SUMIFS(Úsporná_opatření[Úspora emisí CO2 '[t']],Úsporná_opatření[Sektor],$B99,Úsporná_opatření[Opatření],$B98,Úsporná_opatření[Typ],M$7,Úsporná_opatření[Podíl dotace '[%']],"&gt;0")</f>
        <v>0</v>
      </c>
      <c r="N106" s="55">
        <f>SUMIFS(Úsporná_opatření[Úspora emisí CO2 '[t']],Úsporná_opatření[Sektor],$B99,Úsporná_opatření[Opatření],$B98,Úsporná_opatření[Typ],N$7,Úsporná_opatření[Podíl dotace '[%']],"&gt;0")</f>
        <v>0</v>
      </c>
      <c r="O106" s="55">
        <f>SUMIFS(Úsporná_opatření[Úspora emisí CO2 '[t']],Úsporná_opatření[Sektor],$B99,Úsporná_opatření[Opatření],$B98,Úsporná_opatření[Typ],O$7,Úsporná_opatření[Podíl dotace '[%']],"&gt;0")</f>
        <v>0</v>
      </c>
      <c r="P106" s="10"/>
      <c r="Q106" t="s">
        <v>359</v>
      </c>
      <c r="R106" s="55">
        <f>R101*M106</f>
        <v>0</v>
      </c>
      <c r="S106" s="55">
        <f>S101*N106</f>
        <v>0</v>
      </c>
      <c r="T106" s="55">
        <f>T101*O106</f>
        <v>0</v>
      </c>
      <c r="U106" s="55">
        <f>SUM(R106:T106)</f>
        <v>0</v>
      </c>
    </row>
    <row r="107" spans="1:21" ht="18" x14ac:dyDescent="0.35">
      <c r="A107" s="50" t="s">
        <v>308</v>
      </c>
      <c r="B107" s="47">
        <f t="shared" ref="B107:B109" si="29">U107*0.7</f>
        <v>0</v>
      </c>
      <c r="C107" s="24" t="s">
        <v>299</v>
      </c>
      <c r="L107" t="s">
        <v>360</v>
      </c>
      <c r="M107" s="55">
        <f>SUMIFS(Úsporná_opatření[Úspora emisí CH4 '[kg']],Úsporná_opatření[Sektor],$B99,Úsporná_opatření[Opatření],$B98,Úsporná_opatření[Typ],M$7,Úsporná_opatření[Podíl dotace '[%']],"&gt;0")</f>
        <v>0</v>
      </c>
      <c r="N107" s="55">
        <f>SUMIFS(Úsporná_opatření[Úspora emisí CH4 '[kg']],Úsporná_opatření[Sektor],$B99,Úsporná_opatření[Opatření],$B98,Úsporná_opatření[Typ],N$7,Úsporná_opatření[Podíl dotace '[%']],"&gt;0")</f>
        <v>0</v>
      </c>
      <c r="O107" s="55">
        <f>SUMIFS(Úsporná_opatření[Úspora emisí CH4 '[kg']],Úsporná_opatření[Sektor],$B99,Úsporná_opatření[Opatření],$B98,Úsporná_opatření[Typ],O$7,Úsporná_opatření[Podíl dotace '[%']],"&gt;0")</f>
        <v>0</v>
      </c>
      <c r="P107" s="10"/>
      <c r="Q107" t="s">
        <v>360</v>
      </c>
      <c r="R107" s="55">
        <f>R101*M107</f>
        <v>0</v>
      </c>
      <c r="S107" s="55">
        <f>S101*N107</f>
        <v>0</v>
      </c>
      <c r="T107" s="55">
        <f>T101*O107</f>
        <v>0</v>
      </c>
      <c r="U107" s="55">
        <f t="shared" ref="U107:U109" si="30">SUM(R107:T107)</f>
        <v>0</v>
      </c>
    </row>
    <row r="108" spans="1:21" ht="18" x14ac:dyDescent="0.35">
      <c r="A108" s="50" t="s">
        <v>307</v>
      </c>
      <c r="B108" s="47">
        <f t="shared" si="29"/>
        <v>0</v>
      </c>
      <c r="C108" s="24" t="s">
        <v>299</v>
      </c>
      <c r="L108" t="s">
        <v>361</v>
      </c>
      <c r="M108" s="55">
        <f>SUMIFS(Úsporná_opatření[Úspora emisí N2O '[kg']],Úsporná_opatření[Sektor],$B99,Úsporná_opatření[Opatření],$B98,Úsporná_opatření[Typ],M$7,Úsporná_opatření[Podíl dotace '[%']],"&gt;0")</f>
        <v>0</v>
      </c>
      <c r="N108" s="55">
        <f>SUMIFS(Úsporná_opatření[Úspora emisí N2O '[kg']],Úsporná_opatření[Sektor],$B99,Úsporná_opatření[Opatření],$B98,Úsporná_opatření[Typ],N$7,Úsporná_opatření[Podíl dotace '[%']],"&gt;0")</f>
        <v>0</v>
      </c>
      <c r="O108" s="55">
        <f>SUMIFS(Úsporná_opatření[Úspora emisí N2O '[kg']],Úsporná_opatření[Sektor],$B99,Úsporná_opatření[Opatření],$B98,Úsporná_opatření[Typ],O$7,Úsporná_opatření[Podíl dotace '[%']],"&gt;0")</f>
        <v>0</v>
      </c>
      <c r="P108" s="10"/>
      <c r="Q108" t="s">
        <v>361</v>
      </c>
      <c r="R108" s="55">
        <f>R101*M108</f>
        <v>0</v>
      </c>
      <c r="S108" s="55">
        <f>S101*N108</f>
        <v>0</v>
      </c>
      <c r="T108" s="55">
        <f>T101*O108</f>
        <v>0</v>
      </c>
      <c r="U108" s="55">
        <f t="shared" si="30"/>
        <v>0</v>
      </c>
    </row>
    <row r="109" spans="1:21" ht="18.75" thickBot="1" x14ac:dyDescent="0.4">
      <c r="A109" s="52" t="s">
        <v>306</v>
      </c>
      <c r="B109" s="48">
        <f t="shared" si="29"/>
        <v>0</v>
      </c>
      <c r="C109" s="25" t="s">
        <v>303</v>
      </c>
      <c r="L109" t="s">
        <v>362</v>
      </c>
      <c r="M109" s="55">
        <f>SUMIFS(Úsporná_opatření[Úspora emisí CO2eq '[t']],Úsporná_opatření[Sektor],$B99,Úsporná_opatření[Opatření],$B98,Úsporná_opatření[Typ],M$7,Úsporná_opatření[Podíl dotace '[%']],"&gt;0")</f>
        <v>0</v>
      </c>
      <c r="N109" s="55">
        <f>SUMIFS(Úsporná_opatření[Úspora emisí CO2eq '[t']],Úsporná_opatření[Sektor],$B99,Úsporná_opatření[Opatření],$B98,Úsporná_opatření[Typ],N$7,Úsporná_opatření[Podíl dotace '[%']],"&gt;0")</f>
        <v>0</v>
      </c>
      <c r="O109" s="55">
        <f>SUMIFS(Úsporná_opatření[Úspora emisí CO2eq '[t']],Úsporná_opatření[Sektor],$B99,Úsporná_opatření[Opatření],$B98,Úsporná_opatření[Typ],O$7,Úsporná_opatření[Podíl dotace '[%']],"&gt;0")</f>
        <v>0</v>
      </c>
      <c r="P109" s="10"/>
      <c r="Q109" t="s">
        <v>362</v>
      </c>
      <c r="R109" s="55">
        <f>R101*M109</f>
        <v>0</v>
      </c>
      <c r="S109" s="55">
        <f>S101*N109</f>
        <v>0</v>
      </c>
      <c r="T109" s="55">
        <f>T101*O109</f>
        <v>0</v>
      </c>
      <c r="U109" s="55">
        <f t="shared" si="30"/>
        <v>0</v>
      </c>
    </row>
    <row r="110" spans="1:21" ht="15.75" thickBot="1" x14ac:dyDescent="0.3">
      <c r="A110" s="17"/>
      <c r="B110" s="18"/>
      <c r="C110" s="17"/>
    </row>
    <row r="111" spans="1:21" x14ac:dyDescent="0.25">
      <c r="A111" s="43" t="s">
        <v>342</v>
      </c>
      <c r="B111" s="60"/>
      <c r="C111" s="23"/>
      <c r="D111" s="22" t="str">
        <f>IF(D112=TRUE,"Zadejte jinou kombinaci sektoru a opatření","")</f>
        <v>Zadejte jinou kombinaci sektoru a opatření</v>
      </c>
      <c r="M111" s="1" t="s">
        <v>351</v>
      </c>
      <c r="N111" s="1" t="s">
        <v>352</v>
      </c>
      <c r="O111" s="1" t="s">
        <v>353</v>
      </c>
      <c r="P111" s="10"/>
      <c r="R111" s="1"/>
      <c r="S111" s="1"/>
      <c r="T111" s="1"/>
      <c r="U111" s="1"/>
    </row>
    <row r="112" spans="1:21" x14ac:dyDescent="0.25">
      <c r="A112" s="49" t="s">
        <v>35</v>
      </c>
      <c r="B112" s="61"/>
      <c r="C112" s="24"/>
      <c r="D112" s="21" t="b">
        <f>ISERROR(VLOOKUP(CONCATENATE(B112,B111),Úsporná_opatření[[Sloupec1]:[Investice '[Kč/GJ']]],2,0))</f>
        <v>1</v>
      </c>
      <c r="L112" t="s">
        <v>354</v>
      </c>
      <c r="M112" s="55">
        <f>SUMIFS(Úsporná_opatření[Investice '[Kč/GJ']],Úsporná_opatření[Sektor],$B112,Úsporná_opatření[Opatření],$B111,Úsporná_opatření[Typ],M$7,Úsporná_opatření[Podíl dotace '[%']],"&gt;0")</f>
        <v>0</v>
      </c>
      <c r="N112" s="55">
        <f>SUMIFS(Úsporná_opatření[Investice '[Kč/GJ']],Úsporná_opatření[Sektor],$B112,Úsporná_opatření[Opatření],$B111,Úsporná_opatření[Typ],N$7,Úsporná_opatření[Podíl dotace '[%']],"&gt;0")</f>
        <v>0</v>
      </c>
      <c r="O112" s="55">
        <f>SUMIFS(Úsporná_opatření[Investice '[Kč/GJ']],Úsporná_opatření[Sektor],$B112,Úsporná_opatření[Opatření],$B111,Úsporná_opatření[Typ],O$7,Úsporná_opatření[Podíl dotace '[%']],"&gt;0")</f>
        <v>0</v>
      </c>
      <c r="P112" s="10"/>
      <c r="R112" s="2"/>
    </row>
    <row r="113" spans="1:21" x14ac:dyDescent="0.25">
      <c r="A113" s="50" t="s">
        <v>310</v>
      </c>
      <c r="B113" s="62"/>
      <c r="C113" s="24"/>
      <c r="D113" s="14" t="str">
        <f>IF(($B$9+$B$22+$B$35+$B$48+$B$74+$B$61+$B$87+$B$100+$B$113+$B$126)&lt;&gt;1,"Podíly na alokaci programu není v součtu 100%","")</f>
        <v/>
      </c>
      <c r="L113" t="s">
        <v>355</v>
      </c>
      <c r="M113" s="56">
        <f>SUMIFS(Úsporná_opatření[Podíl dotace '[%']],Úsporná_opatření[Sektor],$B112,Úsporná_opatření[Opatření],$B111,Úsporná_opatření[Typ],M$7,Úsporná_opatření[Podíl dotace '[%']],"&gt;0")</f>
        <v>0</v>
      </c>
      <c r="N113" s="56">
        <f>SUMIFS(Úsporná_opatření[Podíl dotace '[%']],Úsporná_opatření[Sektor],$B112,Úsporná_opatření[Opatření],$B111,Úsporná_opatření[Typ],N$7,Úsporná_opatření[Podíl dotace '[%']],"&gt;0")</f>
        <v>0</v>
      </c>
      <c r="O113" s="56">
        <f>SUMIFS(Úsporná_opatření[Podíl dotace '[%']],Úsporná_opatření[Sektor],$B112,Úsporná_opatření[Opatření],$B111,Úsporná_opatření[Typ],O$7,Úsporná_opatření[Podíl dotace '[%']],"&gt;0")</f>
        <v>0</v>
      </c>
      <c r="P113" s="10"/>
      <c r="R113" s="1" t="s">
        <v>351</v>
      </c>
      <c r="S113" s="1" t="s">
        <v>352</v>
      </c>
      <c r="T113" s="1" t="s">
        <v>353</v>
      </c>
      <c r="U113" s="1" t="s">
        <v>363</v>
      </c>
    </row>
    <row r="114" spans="1:21" x14ac:dyDescent="0.25">
      <c r="A114" s="50"/>
      <c r="B114" s="57">
        <f>B113*$B$3</f>
        <v>0</v>
      </c>
      <c r="C114" s="24" t="s">
        <v>293</v>
      </c>
      <c r="P114" s="10"/>
      <c r="Q114" t="s">
        <v>365</v>
      </c>
      <c r="R114" s="56">
        <f>IF($B115&lt;=M113-Tolerance,0,IF($B115&gt;=M113+Tolerance,1,($B115-(M113-Tolerance))/(2*Tolerance)))</f>
        <v>0.5</v>
      </c>
      <c r="S114" s="56">
        <f>IF($B115&lt;=N113-Tolerance,0,IF($B115&gt;=N113+Tolerance,1,($B115-(N113-Tolerance))/(2*Tolerance)))</f>
        <v>0.5</v>
      </c>
      <c r="T114" s="56">
        <f>IF($B115&lt;=O113-Tolerance,0,IF($B115&gt;=O113+Tolerance,1,($B115-(O113-Tolerance))/(2*Tolerance)))</f>
        <v>0.5</v>
      </c>
    </row>
    <row r="115" spans="1:21" x14ac:dyDescent="0.25">
      <c r="A115" s="50" t="s">
        <v>297</v>
      </c>
      <c r="B115" s="62"/>
      <c r="C115" s="24"/>
      <c r="D115" s="14" t="str">
        <f>IF(B116=0,"Podíl dotace na investičních výdajích je příliš nízký","")</f>
        <v>Podíl dotace na investičních výdajích je příliš nízký</v>
      </c>
    </row>
    <row r="116" spans="1:21" x14ac:dyDescent="0.25">
      <c r="A116" s="50" t="s">
        <v>313</v>
      </c>
      <c r="B116" s="63">
        <f>U116/1000000000</f>
        <v>0</v>
      </c>
      <c r="C116" s="24" t="s">
        <v>293</v>
      </c>
      <c r="D116" s="14" t="str">
        <f>IF(B116&lt;B114-Tolerance,"Alokace nebude pravděpodobně vyčerpána",IF(B116&gt;B114+Tolerance,"Alokace bude pravděpodobně přečerpána","Alokace bude pravděpodobně vyčerpána"))</f>
        <v>Alokace bude pravděpodobně vyčerpána</v>
      </c>
      <c r="L116" t="s">
        <v>364</v>
      </c>
      <c r="M116" s="55">
        <f>SUMIFS(Úsporná_opatření[Dotace],Úsporná_opatření[Sektor],$B112,Úsporná_opatření[Opatření],$B111,Úsporná_opatření[Typ],M$7,Úsporná_opatření[Podíl dotace '[%']],"&gt;0")</f>
        <v>0</v>
      </c>
      <c r="N116" s="55">
        <f>SUMIFS(Úsporná_opatření[Dotace],Úsporná_opatření[Sektor],$B112,Úsporná_opatření[Opatření],$B111,Úsporná_opatření[Typ],N$7,Úsporná_opatření[Podíl dotace '[%']],"&gt;0")</f>
        <v>0</v>
      </c>
      <c r="O116" s="55">
        <f>SUMIFS(Úsporná_opatření[Dotace],Úsporná_opatření[Sektor],$B112,Úsporná_opatření[Opatření],$B111,Úsporná_opatření[Typ],O$7,Úsporná_opatření[Podíl dotace '[%']],"&gt;0")</f>
        <v>0</v>
      </c>
      <c r="Q116" t="s">
        <v>364</v>
      </c>
      <c r="R116" s="55">
        <f>R114*M116</f>
        <v>0</v>
      </c>
      <c r="S116" s="55">
        <f>S114*N116</f>
        <v>0</v>
      </c>
      <c r="T116" s="55">
        <f>T114*O116</f>
        <v>0</v>
      </c>
      <c r="U116" s="55">
        <f>SUM(R116:T116)</f>
        <v>0</v>
      </c>
    </row>
    <row r="117" spans="1:21" ht="30" x14ac:dyDescent="0.25">
      <c r="A117" s="51" t="s">
        <v>323</v>
      </c>
      <c r="B117" s="46">
        <f>U117/1000000000</f>
        <v>0</v>
      </c>
      <c r="C117" s="24" t="s">
        <v>293</v>
      </c>
      <c r="D117" s="14"/>
      <c r="L117" t="s">
        <v>357</v>
      </c>
      <c r="M117" s="55">
        <f>SUMIFS(Úsporná_opatření[Investice],Úsporná_opatření[Sektor],$B112,Úsporná_opatření[Opatření],$B111,Úsporná_opatření[Typ],M$7,Úsporná_opatření[Podíl dotace '[%']],"&gt;0")</f>
        <v>0</v>
      </c>
      <c r="N117" s="55">
        <f>SUMIFS(Úsporná_opatření[Investice],Úsporná_opatření[Sektor],$B112,Úsporná_opatření[Opatření],$B111,Úsporná_opatření[Typ],N$7,Úsporná_opatření[Podíl dotace '[%']],"&gt;0")</f>
        <v>0</v>
      </c>
      <c r="O117" s="55">
        <f>SUMIFS(Úsporná_opatření[Investice],Úsporná_opatření[Sektor],$B112,Úsporná_opatření[Opatření],$B111,Úsporná_opatření[Typ],O$7,Úsporná_opatření[Podíl dotace '[%']],"&gt;0")</f>
        <v>0</v>
      </c>
      <c r="P117" s="10"/>
      <c r="Q117" t="s">
        <v>357</v>
      </c>
      <c r="R117" s="55">
        <f>M117*R114</f>
        <v>0</v>
      </c>
      <c r="S117" s="55">
        <f>N117*S114</f>
        <v>0</v>
      </c>
      <c r="T117" s="55">
        <f>O117*T114</f>
        <v>0</v>
      </c>
      <c r="U117" s="55">
        <f>SUM(R117:T117)</f>
        <v>0</v>
      </c>
    </row>
    <row r="118" spans="1:21" x14ac:dyDescent="0.25">
      <c r="A118" s="50" t="s">
        <v>294</v>
      </c>
      <c r="B118" s="46">
        <f>U118/1000*0.7</f>
        <v>0</v>
      </c>
      <c r="C118" s="24" t="s">
        <v>298</v>
      </c>
      <c r="L118" t="s">
        <v>356</v>
      </c>
      <c r="M118" s="55">
        <f>SUMIFS(Úsporná_opatření[Potenciál úspor energie v TJ],Úsporná_opatření[Sektor],$B112,Úsporná_opatření[Opatření],$B111,Úsporná_opatření[Typ],M$7,Úsporná_opatření[Podíl dotace '[%']],"&gt;0")</f>
        <v>0</v>
      </c>
      <c r="N118" s="55">
        <f>SUMIFS(Úsporná_opatření[Potenciál úspor energie v TJ],Úsporná_opatření[Sektor],$B112,Úsporná_opatření[Opatření],$B111,Úsporná_opatření[Typ],N$7,Úsporná_opatření[Podíl dotace '[%']],"&gt;0")</f>
        <v>0</v>
      </c>
      <c r="O118" s="55">
        <f>SUMIFS(Úsporná_opatření[Potenciál úspor energie v TJ],Úsporná_opatření[Sektor],$B112,Úsporná_opatření[Opatření],$B111,Úsporná_opatření[Typ],O$7,Úsporná_opatření[Podíl dotace '[%']],"&gt;0")</f>
        <v>0</v>
      </c>
      <c r="Q118" t="s">
        <v>356</v>
      </c>
      <c r="R118" s="55">
        <f>R114*M118</f>
        <v>0</v>
      </c>
      <c r="S118" s="55">
        <f t="shared" ref="S118" si="31">S114*N118</f>
        <v>0</v>
      </c>
      <c r="T118" s="55">
        <f t="shared" ref="T118" si="32">T114*O118</f>
        <v>0</v>
      </c>
      <c r="U118" s="55">
        <f>SUM(R118:T118)</f>
        <v>0</v>
      </c>
    </row>
    <row r="119" spans="1:21" ht="18" x14ac:dyDescent="0.35">
      <c r="A119" s="50" t="s">
        <v>309</v>
      </c>
      <c r="B119" s="47">
        <f>U119*0.7</f>
        <v>0</v>
      </c>
      <c r="C119" s="24" t="s">
        <v>303</v>
      </c>
      <c r="L119" t="s">
        <v>359</v>
      </c>
      <c r="M119" s="55">
        <f>SUMIFS(Úsporná_opatření[Úspora emisí CO2 '[t']],Úsporná_opatření[Sektor],$B112,Úsporná_opatření[Opatření],$B111,Úsporná_opatření[Typ],M$7,Úsporná_opatření[Podíl dotace '[%']],"&gt;0")</f>
        <v>0</v>
      </c>
      <c r="N119" s="55">
        <f>SUMIFS(Úsporná_opatření[Úspora emisí CO2 '[t']],Úsporná_opatření[Sektor],$B112,Úsporná_opatření[Opatření],$B111,Úsporná_opatření[Typ],N$7,Úsporná_opatření[Podíl dotace '[%']],"&gt;0")</f>
        <v>0</v>
      </c>
      <c r="O119" s="55">
        <f>SUMIFS(Úsporná_opatření[Úspora emisí CO2 '[t']],Úsporná_opatření[Sektor],$B112,Úsporná_opatření[Opatření],$B111,Úsporná_opatření[Typ],O$7,Úsporná_opatření[Podíl dotace '[%']],"&gt;0")</f>
        <v>0</v>
      </c>
      <c r="P119" s="10"/>
      <c r="Q119" t="s">
        <v>359</v>
      </c>
      <c r="R119" s="55">
        <f>R114*M119</f>
        <v>0</v>
      </c>
      <c r="S119" s="55">
        <f>S114*N119</f>
        <v>0</v>
      </c>
      <c r="T119" s="55">
        <f>T114*O119</f>
        <v>0</v>
      </c>
      <c r="U119" s="55">
        <f>SUM(R119:T119)</f>
        <v>0</v>
      </c>
    </row>
    <row r="120" spans="1:21" ht="18" x14ac:dyDescent="0.35">
      <c r="A120" s="50" t="s">
        <v>308</v>
      </c>
      <c r="B120" s="47">
        <f t="shared" ref="B120:B122" si="33">U120*0.7</f>
        <v>0</v>
      </c>
      <c r="C120" s="24" t="s">
        <v>299</v>
      </c>
      <c r="L120" t="s">
        <v>360</v>
      </c>
      <c r="M120" s="55">
        <f>SUMIFS(Úsporná_opatření[Úspora emisí CH4 '[kg']],Úsporná_opatření[Sektor],$B112,Úsporná_opatření[Opatření],$B111,Úsporná_opatření[Typ],M$7,Úsporná_opatření[Podíl dotace '[%']],"&gt;0")</f>
        <v>0</v>
      </c>
      <c r="N120" s="55">
        <f>SUMIFS(Úsporná_opatření[Úspora emisí CH4 '[kg']],Úsporná_opatření[Sektor],$B112,Úsporná_opatření[Opatření],$B111,Úsporná_opatření[Typ],N$7,Úsporná_opatření[Podíl dotace '[%']],"&gt;0")</f>
        <v>0</v>
      </c>
      <c r="O120" s="55">
        <f>SUMIFS(Úsporná_opatření[Úspora emisí CH4 '[kg']],Úsporná_opatření[Sektor],$B112,Úsporná_opatření[Opatření],$B111,Úsporná_opatření[Typ],O$7,Úsporná_opatření[Podíl dotace '[%']],"&gt;0")</f>
        <v>0</v>
      </c>
      <c r="P120" s="10"/>
      <c r="Q120" t="s">
        <v>360</v>
      </c>
      <c r="R120" s="55">
        <f>R114*M120</f>
        <v>0</v>
      </c>
      <c r="S120" s="55">
        <f>S114*N120</f>
        <v>0</v>
      </c>
      <c r="T120" s="55">
        <f>T114*O120</f>
        <v>0</v>
      </c>
      <c r="U120" s="55">
        <f t="shared" ref="U120:U122" si="34">SUM(R120:T120)</f>
        <v>0</v>
      </c>
    </row>
    <row r="121" spans="1:21" ht="18" x14ac:dyDescent="0.35">
      <c r="A121" s="50" t="s">
        <v>307</v>
      </c>
      <c r="B121" s="47">
        <f t="shared" si="33"/>
        <v>0</v>
      </c>
      <c r="C121" s="24" t="s">
        <v>299</v>
      </c>
      <c r="L121" t="s">
        <v>361</v>
      </c>
      <c r="M121" s="55">
        <f>SUMIFS(Úsporná_opatření[Úspora emisí N2O '[kg']],Úsporná_opatření[Sektor],$B112,Úsporná_opatření[Opatření],$B111,Úsporná_opatření[Typ],M$7,Úsporná_opatření[Podíl dotace '[%']],"&gt;0")</f>
        <v>0</v>
      </c>
      <c r="N121" s="55">
        <f>SUMIFS(Úsporná_opatření[Úspora emisí N2O '[kg']],Úsporná_opatření[Sektor],$B112,Úsporná_opatření[Opatření],$B111,Úsporná_opatření[Typ],N$7,Úsporná_opatření[Podíl dotace '[%']],"&gt;0")</f>
        <v>0</v>
      </c>
      <c r="O121" s="55">
        <f>SUMIFS(Úsporná_opatření[Úspora emisí N2O '[kg']],Úsporná_opatření[Sektor],$B112,Úsporná_opatření[Opatření],$B111,Úsporná_opatření[Typ],O$7,Úsporná_opatření[Podíl dotace '[%']],"&gt;0")</f>
        <v>0</v>
      </c>
      <c r="P121" s="10"/>
      <c r="Q121" t="s">
        <v>361</v>
      </c>
      <c r="R121" s="55">
        <f>R114*M121</f>
        <v>0</v>
      </c>
      <c r="S121" s="55">
        <f>S114*N121</f>
        <v>0</v>
      </c>
      <c r="T121" s="55">
        <f>T114*O121</f>
        <v>0</v>
      </c>
      <c r="U121" s="55">
        <f t="shared" si="34"/>
        <v>0</v>
      </c>
    </row>
    <row r="122" spans="1:21" ht="18.75" thickBot="1" x14ac:dyDescent="0.4">
      <c r="A122" s="52" t="s">
        <v>306</v>
      </c>
      <c r="B122" s="48">
        <f t="shared" si="33"/>
        <v>0</v>
      </c>
      <c r="C122" s="25" t="s">
        <v>303</v>
      </c>
      <c r="L122" t="s">
        <v>362</v>
      </c>
      <c r="M122" s="55">
        <f>SUMIFS(Úsporná_opatření[Úspora emisí CO2eq '[t']],Úsporná_opatření[Sektor],$B112,Úsporná_opatření[Opatření],$B111,Úsporná_opatření[Typ],M$7,Úsporná_opatření[Podíl dotace '[%']],"&gt;0")</f>
        <v>0</v>
      </c>
      <c r="N122" s="55">
        <f>SUMIFS(Úsporná_opatření[Úspora emisí CO2eq '[t']],Úsporná_opatření[Sektor],$B112,Úsporná_opatření[Opatření],$B111,Úsporná_opatření[Typ],N$7,Úsporná_opatření[Podíl dotace '[%']],"&gt;0")</f>
        <v>0</v>
      </c>
      <c r="O122" s="55">
        <f>SUMIFS(Úsporná_opatření[Úspora emisí CO2eq '[t']],Úsporná_opatření[Sektor],$B112,Úsporná_opatření[Opatření],$B111,Úsporná_opatření[Typ],O$7,Úsporná_opatření[Podíl dotace '[%']],"&gt;0")</f>
        <v>0</v>
      </c>
      <c r="P122" s="10"/>
      <c r="Q122" t="s">
        <v>362</v>
      </c>
      <c r="R122" s="55">
        <f>R114*M122</f>
        <v>0</v>
      </c>
      <c r="S122" s="55">
        <f>S114*N122</f>
        <v>0</v>
      </c>
      <c r="T122" s="55">
        <f>T114*O122</f>
        <v>0</v>
      </c>
      <c r="U122" s="55">
        <f t="shared" si="34"/>
        <v>0</v>
      </c>
    </row>
    <row r="123" spans="1:21" ht="15.75" thickBot="1" x14ac:dyDescent="0.3">
      <c r="A123" s="17"/>
      <c r="B123" s="18"/>
      <c r="C123" s="17"/>
    </row>
    <row r="124" spans="1:21" x14ac:dyDescent="0.25">
      <c r="A124" s="43" t="s">
        <v>343</v>
      </c>
      <c r="B124" s="60"/>
      <c r="C124" s="23"/>
      <c r="D124" s="22" t="str">
        <f>IF(D125=TRUE,"Zadejte jinou kombinaci sektoru a opatření","")</f>
        <v>Zadejte jinou kombinaci sektoru a opatření</v>
      </c>
      <c r="M124" s="1" t="s">
        <v>351</v>
      </c>
      <c r="N124" s="1" t="s">
        <v>352</v>
      </c>
      <c r="O124" s="1" t="s">
        <v>353</v>
      </c>
      <c r="P124" s="10"/>
      <c r="R124" s="1"/>
      <c r="S124" s="1"/>
      <c r="T124" s="1"/>
      <c r="U124" s="1"/>
    </row>
    <row r="125" spans="1:21" x14ac:dyDescent="0.25">
      <c r="A125" s="49" t="s">
        <v>35</v>
      </c>
      <c r="B125" s="61"/>
      <c r="C125" s="24"/>
      <c r="D125" s="21" t="b">
        <f>ISERROR(VLOOKUP(CONCATENATE(B125,B124),Úsporná_opatření[[Sloupec1]:[Investice '[Kč/GJ']]],2,0))</f>
        <v>1</v>
      </c>
      <c r="L125" t="s">
        <v>354</v>
      </c>
      <c r="M125" s="55">
        <f>SUMIFS(Úsporná_opatření[Investice '[Kč/GJ']],Úsporná_opatření[Sektor],$B125,Úsporná_opatření[Opatření],$B124,Úsporná_opatření[Typ],M$7,Úsporná_opatření[Podíl dotace '[%']],"&gt;0")</f>
        <v>0</v>
      </c>
      <c r="N125" s="55">
        <f>SUMIFS(Úsporná_opatření[Investice '[Kč/GJ']],Úsporná_opatření[Sektor],$B125,Úsporná_opatření[Opatření],$B124,Úsporná_opatření[Typ],N$7,Úsporná_opatření[Podíl dotace '[%']],"&gt;0")</f>
        <v>0</v>
      </c>
      <c r="O125" s="55">
        <f>SUMIFS(Úsporná_opatření[Investice '[Kč/GJ']],Úsporná_opatření[Sektor],$B125,Úsporná_opatření[Opatření],$B124,Úsporná_opatření[Typ],O$7,Úsporná_opatření[Podíl dotace '[%']],"&gt;0")</f>
        <v>0</v>
      </c>
      <c r="P125" s="10"/>
      <c r="R125" s="2"/>
    </row>
    <row r="126" spans="1:21" x14ac:dyDescent="0.25">
      <c r="A126" s="50" t="s">
        <v>310</v>
      </c>
      <c r="B126" s="62"/>
      <c r="C126" s="24"/>
      <c r="D126" s="14" t="str">
        <f>IF(($B$9+$B$22+$B$35+$B$48+$B$74+$B$61+$B$87+$B$100+$B$113+$B$126)&lt;&gt;1,"Podíly na alokaci programu není v součtu 100%","")</f>
        <v/>
      </c>
      <c r="L126" t="s">
        <v>355</v>
      </c>
      <c r="M126" s="56">
        <f>SUMIFS(Úsporná_opatření[Podíl dotace '[%']],Úsporná_opatření[Sektor],$B125,Úsporná_opatření[Opatření],$B124,Úsporná_opatření[Typ],M$7,Úsporná_opatření[Podíl dotace '[%']],"&gt;0")</f>
        <v>0</v>
      </c>
      <c r="N126" s="56">
        <f>SUMIFS(Úsporná_opatření[Podíl dotace '[%']],Úsporná_opatření[Sektor],$B125,Úsporná_opatření[Opatření],$B124,Úsporná_opatření[Typ],N$7,Úsporná_opatření[Podíl dotace '[%']],"&gt;0")</f>
        <v>0</v>
      </c>
      <c r="O126" s="56">
        <f>SUMIFS(Úsporná_opatření[Podíl dotace '[%']],Úsporná_opatření[Sektor],$B125,Úsporná_opatření[Opatření],$B124,Úsporná_opatření[Typ],O$7,Úsporná_opatření[Podíl dotace '[%']],"&gt;0")</f>
        <v>0</v>
      </c>
      <c r="P126" s="10"/>
      <c r="R126" s="1" t="s">
        <v>351</v>
      </c>
      <c r="S126" s="1" t="s">
        <v>352</v>
      </c>
      <c r="T126" s="1" t="s">
        <v>353</v>
      </c>
      <c r="U126" s="1" t="s">
        <v>363</v>
      </c>
    </row>
    <row r="127" spans="1:21" x14ac:dyDescent="0.25">
      <c r="A127" s="50"/>
      <c r="B127" s="57">
        <f>B126*$B$3</f>
        <v>0</v>
      </c>
      <c r="C127" s="24" t="s">
        <v>293</v>
      </c>
      <c r="P127" s="10"/>
      <c r="Q127" t="s">
        <v>365</v>
      </c>
      <c r="R127" s="56">
        <f>IF($B128&lt;=M126-Tolerance,0,IF($B128&gt;=M126+Tolerance,1,($B128-(M126-Tolerance))/(2*Tolerance)))</f>
        <v>0.5</v>
      </c>
      <c r="S127" s="56">
        <f>IF($B128&lt;=N126-Tolerance,0,IF($B128&gt;=N126+Tolerance,1,($B128-(N126-Tolerance))/(2*Tolerance)))</f>
        <v>0.5</v>
      </c>
      <c r="T127" s="56">
        <f>IF($B128&lt;=O126-Tolerance,0,IF($B128&gt;=O126+Tolerance,1,($B128-(O126-Tolerance))/(2*Tolerance)))</f>
        <v>0.5</v>
      </c>
    </row>
    <row r="128" spans="1:21" x14ac:dyDescent="0.25">
      <c r="A128" s="50" t="s">
        <v>297</v>
      </c>
      <c r="B128" s="62"/>
      <c r="C128" s="24"/>
      <c r="D128" s="14" t="str">
        <f>IF(B129=0,"Podíl dotace na investičních výdajích je příliš nízký","")</f>
        <v>Podíl dotace na investičních výdajích je příliš nízký</v>
      </c>
    </row>
    <row r="129" spans="1:21" x14ac:dyDescent="0.25">
      <c r="A129" s="50" t="s">
        <v>313</v>
      </c>
      <c r="B129" s="63">
        <f>U129/1000000000</f>
        <v>0</v>
      </c>
      <c r="C129" s="24" t="s">
        <v>293</v>
      </c>
      <c r="D129" s="14" t="str">
        <f>IF(B129&lt;B127-Tolerance,"Alokace nebude pravděpodobně vyčerpána",IF(B129&gt;B127+Tolerance,"Alokace bude pravděpodobně přečerpána","Alokace bude pravděpodobně vyčerpána"))</f>
        <v>Alokace bude pravděpodobně vyčerpána</v>
      </c>
      <c r="L129" t="s">
        <v>364</v>
      </c>
      <c r="M129" s="55">
        <f>SUMIFS(Úsporná_opatření[Dotace],Úsporná_opatření[Sektor],$B125,Úsporná_opatření[Opatření],$B124,Úsporná_opatření[Typ],M$7,Úsporná_opatření[Podíl dotace '[%']],"&gt;0")</f>
        <v>0</v>
      </c>
      <c r="N129" s="55">
        <f>SUMIFS(Úsporná_opatření[Dotace],Úsporná_opatření[Sektor],$B125,Úsporná_opatření[Opatření],$B124,Úsporná_opatření[Typ],N$7,Úsporná_opatření[Podíl dotace '[%']],"&gt;0")</f>
        <v>0</v>
      </c>
      <c r="O129" s="55">
        <f>SUMIFS(Úsporná_opatření[Dotace],Úsporná_opatření[Sektor],$B125,Úsporná_opatření[Opatření],$B124,Úsporná_opatření[Typ],O$7,Úsporná_opatření[Podíl dotace '[%']],"&gt;0")</f>
        <v>0</v>
      </c>
      <c r="Q129" t="s">
        <v>364</v>
      </c>
      <c r="R129" s="55">
        <f>R127*M129</f>
        <v>0</v>
      </c>
      <c r="S129" s="55">
        <f>S127*N129</f>
        <v>0</v>
      </c>
      <c r="T129" s="55">
        <f>T127*O129</f>
        <v>0</v>
      </c>
      <c r="U129" s="55">
        <f>SUM(R129:T129)</f>
        <v>0</v>
      </c>
    </row>
    <row r="130" spans="1:21" ht="30" x14ac:dyDescent="0.25">
      <c r="A130" s="51" t="s">
        <v>323</v>
      </c>
      <c r="B130" s="46">
        <f>U130/1000000000</f>
        <v>0</v>
      </c>
      <c r="C130" s="24" t="s">
        <v>293</v>
      </c>
      <c r="D130" s="14"/>
      <c r="L130" t="s">
        <v>357</v>
      </c>
      <c r="M130" s="55">
        <f>SUMIFS(Úsporná_opatření[Investice],Úsporná_opatření[Sektor],$B125,Úsporná_opatření[Opatření],$B124,Úsporná_opatření[Typ],M$7,Úsporná_opatření[Podíl dotace '[%']],"&gt;0")</f>
        <v>0</v>
      </c>
      <c r="N130" s="55">
        <f>SUMIFS(Úsporná_opatření[Investice],Úsporná_opatření[Sektor],$B125,Úsporná_opatření[Opatření],$B124,Úsporná_opatření[Typ],N$7,Úsporná_opatření[Podíl dotace '[%']],"&gt;0")</f>
        <v>0</v>
      </c>
      <c r="O130" s="55">
        <f>SUMIFS(Úsporná_opatření[Investice],Úsporná_opatření[Sektor],$B125,Úsporná_opatření[Opatření],$B124,Úsporná_opatření[Typ],O$7,Úsporná_opatření[Podíl dotace '[%']],"&gt;0")</f>
        <v>0</v>
      </c>
      <c r="P130" s="10"/>
      <c r="Q130" t="s">
        <v>357</v>
      </c>
      <c r="R130" s="55">
        <f>M130*R127</f>
        <v>0</v>
      </c>
      <c r="S130" s="55">
        <f>N130*S127</f>
        <v>0</v>
      </c>
      <c r="T130" s="55">
        <f>O130*T127</f>
        <v>0</v>
      </c>
      <c r="U130" s="55">
        <f>SUM(R130:T130)</f>
        <v>0</v>
      </c>
    </row>
    <row r="131" spans="1:21" x14ac:dyDescent="0.25">
      <c r="A131" s="50" t="s">
        <v>294</v>
      </c>
      <c r="B131" s="46">
        <f>U131/1000*0.7</f>
        <v>0</v>
      </c>
      <c r="C131" s="24" t="s">
        <v>298</v>
      </c>
      <c r="L131" t="s">
        <v>356</v>
      </c>
      <c r="M131" s="55">
        <f>SUMIFS(Úsporná_opatření[Potenciál úspor energie v TJ],Úsporná_opatření[Sektor],$B125,Úsporná_opatření[Opatření],$B124,Úsporná_opatření[Typ],M$7,Úsporná_opatření[Podíl dotace '[%']],"&gt;0")</f>
        <v>0</v>
      </c>
      <c r="N131" s="55">
        <f>SUMIFS(Úsporná_opatření[Potenciál úspor energie v TJ],Úsporná_opatření[Sektor],$B125,Úsporná_opatření[Opatření],$B124,Úsporná_opatření[Typ],N$7,Úsporná_opatření[Podíl dotace '[%']],"&gt;0")</f>
        <v>0</v>
      </c>
      <c r="O131" s="55">
        <f>SUMIFS(Úsporná_opatření[Potenciál úspor energie v TJ],Úsporná_opatření[Sektor],$B125,Úsporná_opatření[Opatření],$B124,Úsporná_opatření[Typ],O$7,Úsporná_opatření[Podíl dotace '[%']],"&gt;0")</f>
        <v>0</v>
      </c>
      <c r="Q131" t="s">
        <v>356</v>
      </c>
      <c r="R131" s="55">
        <f>R127*M131</f>
        <v>0</v>
      </c>
      <c r="S131" s="55">
        <f t="shared" ref="S131" si="35">S127*N131</f>
        <v>0</v>
      </c>
      <c r="T131" s="55">
        <f t="shared" ref="T131" si="36">T127*O131</f>
        <v>0</v>
      </c>
      <c r="U131" s="55">
        <f>SUM(R131:T131)</f>
        <v>0</v>
      </c>
    </row>
    <row r="132" spans="1:21" ht="18" x14ac:dyDescent="0.35">
      <c r="A132" s="50" t="s">
        <v>309</v>
      </c>
      <c r="B132" s="47">
        <f>U132*0.7</f>
        <v>0</v>
      </c>
      <c r="C132" s="24" t="s">
        <v>303</v>
      </c>
      <c r="L132" t="s">
        <v>359</v>
      </c>
      <c r="M132" s="55">
        <f>SUMIFS(Úsporná_opatření[Úspora emisí CO2 '[t']],Úsporná_opatření[Sektor],$B125,Úsporná_opatření[Opatření],$B124,Úsporná_opatření[Typ],M$7,Úsporná_opatření[Podíl dotace '[%']],"&gt;0")</f>
        <v>0</v>
      </c>
      <c r="N132" s="55">
        <f>SUMIFS(Úsporná_opatření[Úspora emisí CO2 '[t']],Úsporná_opatření[Sektor],$B125,Úsporná_opatření[Opatření],$B124,Úsporná_opatření[Typ],N$7,Úsporná_opatření[Podíl dotace '[%']],"&gt;0")</f>
        <v>0</v>
      </c>
      <c r="O132" s="55">
        <f>SUMIFS(Úsporná_opatření[Úspora emisí CO2 '[t']],Úsporná_opatření[Sektor],$B125,Úsporná_opatření[Opatření],$B124,Úsporná_opatření[Typ],O$7,Úsporná_opatření[Podíl dotace '[%']],"&gt;0")</f>
        <v>0</v>
      </c>
      <c r="P132" s="10"/>
      <c r="Q132" t="s">
        <v>359</v>
      </c>
      <c r="R132" s="55">
        <f>R127*M132</f>
        <v>0</v>
      </c>
      <c r="S132" s="55">
        <f>S127*N132</f>
        <v>0</v>
      </c>
      <c r="T132" s="55">
        <f>T127*O132</f>
        <v>0</v>
      </c>
      <c r="U132" s="55">
        <f>SUM(R132:T132)</f>
        <v>0</v>
      </c>
    </row>
    <row r="133" spans="1:21" ht="18" x14ac:dyDescent="0.35">
      <c r="A133" s="50" t="s">
        <v>308</v>
      </c>
      <c r="B133" s="47">
        <f t="shared" ref="B133:B135" si="37">U133*0.7</f>
        <v>0</v>
      </c>
      <c r="C133" s="24" t="s">
        <v>299</v>
      </c>
      <c r="L133" t="s">
        <v>360</v>
      </c>
      <c r="M133" s="55">
        <f>SUMIFS(Úsporná_opatření[Úspora emisí CH4 '[kg']],Úsporná_opatření[Sektor],$B125,Úsporná_opatření[Opatření],$B124,Úsporná_opatření[Typ],M$7,Úsporná_opatření[Podíl dotace '[%']],"&gt;0")</f>
        <v>0</v>
      </c>
      <c r="N133" s="55">
        <f>SUMIFS(Úsporná_opatření[Úspora emisí CH4 '[kg']],Úsporná_opatření[Sektor],$B125,Úsporná_opatření[Opatření],$B124,Úsporná_opatření[Typ],N$7,Úsporná_opatření[Podíl dotace '[%']],"&gt;0")</f>
        <v>0</v>
      </c>
      <c r="O133" s="55">
        <f>SUMIFS(Úsporná_opatření[Úspora emisí CH4 '[kg']],Úsporná_opatření[Sektor],$B125,Úsporná_opatření[Opatření],$B124,Úsporná_opatření[Typ],O$7,Úsporná_opatření[Podíl dotace '[%']],"&gt;0")</f>
        <v>0</v>
      </c>
      <c r="P133" s="10"/>
      <c r="Q133" t="s">
        <v>360</v>
      </c>
      <c r="R133" s="55">
        <f>R127*M133</f>
        <v>0</v>
      </c>
      <c r="S133" s="55">
        <f>S127*N133</f>
        <v>0</v>
      </c>
      <c r="T133" s="55">
        <f>T127*O133</f>
        <v>0</v>
      </c>
      <c r="U133" s="55">
        <f t="shared" ref="U133:U135" si="38">SUM(R133:T133)</f>
        <v>0</v>
      </c>
    </row>
    <row r="134" spans="1:21" ht="18" x14ac:dyDescent="0.35">
      <c r="A134" s="50" t="s">
        <v>307</v>
      </c>
      <c r="B134" s="47">
        <f t="shared" si="37"/>
        <v>0</v>
      </c>
      <c r="C134" s="24" t="s">
        <v>299</v>
      </c>
      <c r="L134" t="s">
        <v>361</v>
      </c>
      <c r="M134" s="55">
        <f>SUMIFS(Úsporná_opatření[Úspora emisí N2O '[kg']],Úsporná_opatření[Sektor],$B125,Úsporná_opatření[Opatření],$B124,Úsporná_opatření[Typ],M$7,Úsporná_opatření[Podíl dotace '[%']],"&gt;0")</f>
        <v>0</v>
      </c>
      <c r="N134" s="55">
        <f>SUMIFS(Úsporná_opatření[Úspora emisí N2O '[kg']],Úsporná_opatření[Sektor],$B125,Úsporná_opatření[Opatření],$B124,Úsporná_opatření[Typ],N$7,Úsporná_opatření[Podíl dotace '[%']],"&gt;0")</f>
        <v>0</v>
      </c>
      <c r="O134" s="55">
        <f>SUMIFS(Úsporná_opatření[Úspora emisí N2O '[kg']],Úsporná_opatření[Sektor],$B125,Úsporná_opatření[Opatření],$B124,Úsporná_opatření[Typ],O$7,Úsporná_opatření[Podíl dotace '[%']],"&gt;0")</f>
        <v>0</v>
      </c>
      <c r="P134" s="10"/>
      <c r="Q134" t="s">
        <v>361</v>
      </c>
      <c r="R134" s="55">
        <f>R127*M134</f>
        <v>0</v>
      </c>
      <c r="S134" s="55">
        <f>S127*N134</f>
        <v>0</v>
      </c>
      <c r="T134" s="55">
        <f>T127*O134</f>
        <v>0</v>
      </c>
      <c r="U134" s="55">
        <f t="shared" si="38"/>
        <v>0</v>
      </c>
    </row>
    <row r="135" spans="1:21" ht="18.75" thickBot="1" x14ac:dyDescent="0.4">
      <c r="A135" s="52" t="s">
        <v>306</v>
      </c>
      <c r="B135" s="48">
        <f t="shared" si="37"/>
        <v>0</v>
      </c>
      <c r="C135" s="25" t="s">
        <v>303</v>
      </c>
      <c r="L135" t="s">
        <v>362</v>
      </c>
      <c r="M135" s="55">
        <f>SUMIFS(Úsporná_opatření[Úspora emisí CO2eq '[t']],Úsporná_opatření[Sektor],$B125,Úsporná_opatření[Opatření],$B124,Úsporná_opatření[Typ],M$7,Úsporná_opatření[Podíl dotace '[%']],"&gt;0")</f>
        <v>0</v>
      </c>
      <c r="N135" s="55">
        <f>SUMIFS(Úsporná_opatření[Úspora emisí CO2eq '[t']],Úsporná_opatření[Sektor],$B125,Úsporná_opatření[Opatření],$B124,Úsporná_opatření[Typ],N$7,Úsporná_opatření[Podíl dotace '[%']],"&gt;0")</f>
        <v>0</v>
      </c>
      <c r="O135" s="55">
        <f>SUMIFS(Úsporná_opatření[Úspora emisí CO2eq '[t']],Úsporná_opatření[Sektor],$B125,Úsporná_opatření[Opatření],$B124,Úsporná_opatření[Typ],O$7,Úsporná_opatření[Podíl dotace '[%']],"&gt;0")</f>
        <v>0</v>
      </c>
      <c r="P135" s="10"/>
      <c r="Q135" t="s">
        <v>362</v>
      </c>
      <c r="R135" s="55">
        <f>R127*M135</f>
        <v>0</v>
      </c>
      <c r="S135" s="55">
        <f>S127*N135</f>
        <v>0</v>
      </c>
      <c r="T135" s="55">
        <f>T127*O135</f>
        <v>0</v>
      </c>
      <c r="U135" s="55">
        <f t="shared" si="38"/>
        <v>0</v>
      </c>
    </row>
    <row r="136" spans="1:21" x14ac:dyDescent="0.25">
      <c r="A136" s="17"/>
      <c r="B136" s="18"/>
      <c r="C136" s="17"/>
    </row>
    <row r="137" spans="1:21" ht="15.75" thickBot="1" x14ac:dyDescent="0.3"/>
    <row r="138" spans="1:21" ht="15.75" thickBot="1" x14ac:dyDescent="0.3">
      <c r="A138" s="64" t="str">
        <f>CONCATENATE("Celkový přínos programu: ",B1)</f>
        <v>Celkový přínos programu: Příklad Operační program životní prostředí</v>
      </c>
      <c r="B138" s="65"/>
      <c r="C138" s="66"/>
    </row>
    <row r="139" spans="1:21" x14ac:dyDescent="0.25">
      <c r="A139" s="35" t="s">
        <v>294</v>
      </c>
      <c r="B139" s="29">
        <f>B79+B53+B40+B27+B14+B66+B92+B105+B118+B131</f>
        <v>3.5362413526261158</v>
      </c>
      <c r="C139" s="28" t="s">
        <v>298</v>
      </c>
      <c r="E139" s="2"/>
    </row>
    <row r="140" spans="1:21" ht="18" x14ac:dyDescent="0.35">
      <c r="A140" s="36" t="s">
        <v>309</v>
      </c>
      <c r="B140" s="30">
        <f t="shared" ref="B140:B143" si="39">B80+B54+B41+B28+B15+B67+B93+B106+B119+B132</f>
        <v>320641.61280914373</v>
      </c>
      <c r="C140" s="26" t="s">
        <v>303</v>
      </c>
    </row>
    <row r="141" spans="1:21" ht="18" x14ac:dyDescent="0.35">
      <c r="A141" s="36" t="s">
        <v>308</v>
      </c>
      <c r="B141" s="30">
        <f t="shared" si="39"/>
        <v>23812.482887061447</v>
      </c>
      <c r="C141" s="26" t="s">
        <v>299</v>
      </c>
    </row>
    <row r="142" spans="1:21" ht="18" x14ac:dyDescent="0.35">
      <c r="A142" s="36" t="s">
        <v>307</v>
      </c>
      <c r="B142" s="30">
        <f t="shared" si="39"/>
        <v>3476.9358224830103</v>
      </c>
      <c r="C142" s="26" t="s">
        <v>299</v>
      </c>
    </row>
    <row r="143" spans="1:21" ht="18" x14ac:dyDescent="0.35">
      <c r="A143" s="36" t="s">
        <v>306</v>
      </c>
      <c r="B143" s="30">
        <f t="shared" si="39"/>
        <v>322273.05175642023</v>
      </c>
      <c r="C143" s="26" t="s">
        <v>303</v>
      </c>
    </row>
    <row r="144" spans="1:21" x14ac:dyDescent="0.25">
      <c r="A144" s="36"/>
      <c r="B144" s="30"/>
      <c r="C144" s="26"/>
    </row>
    <row r="145" spans="1:3" x14ac:dyDescent="0.25">
      <c r="A145" s="36" t="s">
        <v>312</v>
      </c>
      <c r="B145" s="31">
        <f>B3</f>
        <v>23.1</v>
      </c>
      <c r="C145" s="26" t="s">
        <v>293</v>
      </c>
    </row>
    <row r="146" spans="1:3" x14ac:dyDescent="0.25">
      <c r="A146" s="36" t="s">
        <v>324</v>
      </c>
      <c r="B146" s="32">
        <f>B77+B51+B38+B25+B12+B64+B90+B103+B116+B129</f>
        <v>15.385010298997212</v>
      </c>
      <c r="C146" s="26" t="s">
        <v>293</v>
      </c>
    </row>
    <row r="147" spans="1:3" x14ac:dyDescent="0.25">
      <c r="A147" s="36" t="s">
        <v>314</v>
      </c>
      <c r="B147" s="32">
        <f>B78+B52+B39+B26+B13+B65+B91+B104+B117+B130</f>
        <v>49.940823083855939</v>
      </c>
      <c r="C147" s="26" t="s">
        <v>293</v>
      </c>
    </row>
    <row r="148" spans="1:3" x14ac:dyDescent="0.25">
      <c r="A148" s="36"/>
      <c r="B148" s="33"/>
      <c r="C148" s="26"/>
    </row>
    <row r="149" spans="1:3" x14ac:dyDescent="0.25">
      <c r="A149" s="36" t="s">
        <v>315</v>
      </c>
      <c r="B149" s="30">
        <f>IFERROR(B147/B139*1000,0)</f>
        <v>14122.571992086578</v>
      </c>
      <c r="C149" s="26" t="s">
        <v>317</v>
      </c>
    </row>
    <row r="150" spans="1:3" ht="18" x14ac:dyDescent="0.35">
      <c r="A150" s="36" t="s">
        <v>316</v>
      </c>
      <c r="B150" s="30">
        <f>IFERROR(B147/B140*1000000000,0)</f>
        <v>155752.78157542931</v>
      </c>
      <c r="C150" s="26" t="s">
        <v>318</v>
      </c>
    </row>
    <row r="151" spans="1:3" ht="18" x14ac:dyDescent="0.35">
      <c r="A151" s="36" t="s">
        <v>319</v>
      </c>
      <c r="B151" s="30">
        <f>IFERROR(B147/B141*1000000000,0)</f>
        <v>2097253.9201693819</v>
      </c>
      <c r="C151" s="26" t="s">
        <v>322</v>
      </c>
    </row>
    <row r="152" spans="1:3" ht="18" x14ac:dyDescent="0.35">
      <c r="A152" s="36" t="s">
        <v>320</v>
      </c>
      <c r="B152" s="30">
        <f>IFERROR(B147/B142*1000000000,0)</f>
        <v>14363458.410972718</v>
      </c>
      <c r="C152" s="26" t="s">
        <v>322</v>
      </c>
    </row>
    <row r="153" spans="1:3" ht="18.75" thickBot="1" x14ac:dyDescent="0.4">
      <c r="A153" s="37" t="s">
        <v>321</v>
      </c>
      <c r="B153" s="34">
        <f>IFERROR(B147/B143*1000000000,0)</f>
        <v>154964.31616504537</v>
      </c>
      <c r="C153" s="27" t="s">
        <v>318</v>
      </c>
    </row>
  </sheetData>
  <sheetProtection sheet="1" objects="1" scenarios="1"/>
  <mergeCells count="1">
    <mergeCell ref="A138:C138"/>
  </mergeCells>
  <conditionalFormatting sqref="B12">
    <cfRule type="expression" dxfId="94" priority="78">
      <formula>B12&lt;B10-Tolerance</formula>
    </cfRule>
    <cfRule type="expression" dxfId="93" priority="77">
      <formula>B12&gt;B10+Tolerance</formula>
    </cfRule>
  </conditionalFormatting>
  <conditionalFormatting sqref="B7">
    <cfRule type="expression" dxfId="92" priority="76">
      <formula>$D8</formula>
    </cfRule>
  </conditionalFormatting>
  <conditionalFormatting sqref="B8">
    <cfRule type="expression" dxfId="91" priority="75">
      <formula>$D8</formula>
    </cfRule>
  </conditionalFormatting>
  <conditionalFormatting sqref="B25">
    <cfRule type="expression" dxfId="90" priority="35">
      <formula>B25&gt;B23+Tolerance</formula>
    </cfRule>
    <cfRule type="expression" dxfId="89" priority="36">
      <formula>B25&lt;B23-Tolerance</formula>
    </cfRule>
  </conditionalFormatting>
  <conditionalFormatting sqref="B20">
    <cfRule type="expression" dxfId="88" priority="34">
      <formula>$D21</formula>
    </cfRule>
  </conditionalFormatting>
  <conditionalFormatting sqref="B21">
    <cfRule type="expression" dxfId="87" priority="33">
      <formula>$D21</formula>
    </cfRule>
  </conditionalFormatting>
  <conditionalFormatting sqref="B38">
    <cfRule type="expression" dxfId="86" priority="31">
      <formula>B38&gt;B36+Tolerance</formula>
    </cfRule>
    <cfRule type="expression" dxfId="85" priority="32">
      <formula>B38&lt;B36-Tolerance</formula>
    </cfRule>
  </conditionalFormatting>
  <conditionalFormatting sqref="B33">
    <cfRule type="expression" dxfId="84" priority="30">
      <formula>$D34</formula>
    </cfRule>
  </conditionalFormatting>
  <conditionalFormatting sqref="B34">
    <cfRule type="expression" dxfId="83" priority="29">
      <formula>$D34</formula>
    </cfRule>
  </conditionalFormatting>
  <conditionalFormatting sqref="B51">
    <cfRule type="expression" dxfId="82" priority="27">
      <formula>B51&gt;B49+Tolerance</formula>
    </cfRule>
    <cfRule type="expression" dxfId="81" priority="28">
      <formula>B51&lt;B49-Tolerance</formula>
    </cfRule>
  </conditionalFormatting>
  <conditionalFormatting sqref="B46">
    <cfRule type="expression" dxfId="80" priority="26">
      <formula>$D47</formula>
    </cfRule>
  </conditionalFormatting>
  <conditionalFormatting sqref="B47">
    <cfRule type="expression" dxfId="79" priority="25">
      <formula>$D47</formula>
    </cfRule>
  </conditionalFormatting>
  <conditionalFormatting sqref="B64">
    <cfRule type="expression" dxfId="78" priority="23">
      <formula>B64&gt;B62+Tolerance</formula>
    </cfRule>
    <cfRule type="expression" dxfId="77" priority="24">
      <formula>B64&lt;B62-Tolerance</formula>
    </cfRule>
  </conditionalFormatting>
  <conditionalFormatting sqref="B59">
    <cfRule type="expression" dxfId="76" priority="22">
      <formula>$D60</formula>
    </cfRule>
  </conditionalFormatting>
  <conditionalFormatting sqref="B60">
    <cfRule type="expression" dxfId="75" priority="21">
      <formula>$D60</formula>
    </cfRule>
  </conditionalFormatting>
  <conditionalFormatting sqref="B77">
    <cfRule type="expression" dxfId="74" priority="19">
      <formula>B77&gt;B75+Tolerance</formula>
    </cfRule>
    <cfRule type="expression" dxfId="73" priority="20">
      <formula>B77&lt;B75-Tolerance</formula>
    </cfRule>
  </conditionalFormatting>
  <conditionalFormatting sqref="B72">
    <cfRule type="expression" dxfId="72" priority="18">
      <formula>$D73</formula>
    </cfRule>
  </conditionalFormatting>
  <conditionalFormatting sqref="B73">
    <cfRule type="expression" dxfId="71" priority="17">
      <formula>$D73</formula>
    </cfRule>
  </conditionalFormatting>
  <conditionalFormatting sqref="B90">
    <cfRule type="expression" dxfId="70" priority="15">
      <formula>B90&gt;B88+Tolerance</formula>
    </cfRule>
    <cfRule type="expression" dxfId="69" priority="16">
      <formula>B90&lt;B88-Tolerance</formula>
    </cfRule>
  </conditionalFormatting>
  <conditionalFormatting sqref="B85">
    <cfRule type="expression" dxfId="68" priority="14">
      <formula>$D86</formula>
    </cfRule>
  </conditionalFormatting>
  <conditionalFormatting sqref="B86">
    <cfRule type="expression" dxfId="67" priority="13">
      <formula>$D86</formula>
    </cfRule>
  </conditionalFormatting>
  <conditionalFormatting sqref="B103">
    <cfRule type="expression" dxfId="66" priority="11">
      <formula>B103&gt;B101+Tolerance</formula>
    </cfRule>
    <cfRule type="expression" dxfId="65" priority="12">
      <formula>B103&lt;B101-Tolerance</formula>
    </cfRule>
  </conditionalFormatting>
  <conditionalFormatting sqref="B98">
    <cfRule type="expression" dxfId="64" priority="10">
      <formula>$D99</formula>
    </cfRule>
  </conditionalFormatting>
  <conditionalFormatting sqref="B99">
    <cfRule type="expression" dxfId="63" priority="9">
      <formula>$D99</formula>
    </cfRule>
  </conditionalFormatting>
  <conditionalFormatting sqref="B116">
    <cfRule type="expression" dxfId="62" priority="7">
      <formula>B116&gt;B114+Tolerance</formula>
    </cfRule>
    <cfRule type="expression" dxfId="61" priority="8">
      <formula>B116&lt;B114-Tolerance</formula>
    </cfRule>
  </conditionalFormatting>
  <conditionalFormatting sqref="B111">
    <cfRule type="expression" dxfId="60" priority="6">
      <formula>$D112</formula>
    </cfRule>
  </conditionalFormatting>
  <conditionalFormatting sqref="B112">
    <cfRule type="expression" dxfId="59" priority="5">
      <formula>$D112</formula>
    </cfRule>
  </conditionalFormatting>
  <conditionalFormatting sqref="B129">
    <cfRule type="expression" dxfId="58" priority="3">
      <formula>B129&gt;B127+Tolerance</formula>
    </cfRule>
    <cfRule type="expression" dxfId="57" priority="4">
      <formula>B129&lt;B127-Tolerance</formula>
    </cfRule>
  </conditionalFormatting>
  <conditionalFormatting sqref="B124">
    <cfRule type="expression" dxfId="56" priority="2">
      <formula>$D125</formula>
    </cfRule>
  </conditionalFormatting>
  <conditionalFormatting sqref="B125">
    <cfRule type="expression" dxfId="55" priority="1">
      <formula>$D125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Seznamy!$G$2:$G$8</xm:f>
          </x14:formula1>
          <xm:sqref>B8 B112 B21 B34 B60 B47 B73 B86 B99 B125</xm:sqref>
        </x14:dataValidation>
        <x14:dataValidation type="list" allowBlank="1" showInputMessage="1" showErrorMessage="1">
          <x14:formula1>
            <xm:f>Seznamy!$A$2:$A$39</xm:f>
          </x14:formula1>
          <xm:sqref>B46 B33 B20 B72 B7 B59 B111 B98 B85 B124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F225"/>
  <sheetViews>
    <sheetView workbookViewId="0">
      <selection activeCell="E4" sqref="E4"/>
    </sheetView>
  </sheetViews>
  <sheetFormatPr defaultRowHeight="15" x14ac:dyDescent="0.25"/>
  <cols>
    <col min="1" max="1" width="23.85546875" bestFit="1" customWidth="1"/>
    <col min="2" max="2" width="38" bestFit="1" customWidth="1"/>
    <col min="3" max="3" width="62.140625" bestFit="1" customWidth="1"/>
    <col min="4" max="4" width="13.5703125" customWidth="1"/>
    <col min="5" max="5" width="12.42578125" customWidth="1"/>
    <col min="6" max="6" width="12.85546875" customWidth="1"/>
  </cols>
  <sheetData>
    <row r="1" spans="1:6" ht="18" x14ac:dyDescent="0.35">
      <c r="A1" t="s">
        <v>37</v>
      </c>
      <c r="B1" t="s">
        <v>35</v>
      </c>
      <c r="C1" t="s">
        <v>46</v>
      </c>
      <c r="D1" s="1" t="s">
        <v>16</v>
      </c>
      <c r="E1" s="1" t="s">
        <v>17</v>
      </c>
      <c r="F1" s="1" t="s">
        <v>18</v>
      </c>
    </row>
    <row r="2" spans="1:6" x14ac:dyDescent="0.25">
      <c r="A2" t="s">
        <v>12</v>
      </c>
      <c r="B2" t="s">
        <v>23</v>
      </c>
      <c r="C2" t="str">
        <f>A2 &amp; "#" &amp; B2</f>
        <v>Elektřina#Doprava - vnitrostátní letecká</v>
      </c>
      <c r="D2" s="8">
        <v>243.30535699975164</v>
      </c>
      <c r="E2" s="8">
        <v>2.5994178058499644</v>
      </c>
      <c r="F2" s="8">
        <v>3.4119963077868793</v>
      </c>
    </row>
    <row r="3" spans="1:6" x14ac:dyDescent="0.25">
      <c r="A3" t="s">
        <v>14</v>
      </c>
      <c r="B3" t="s">
        <v>23</v>
      </c>
      <c r="C3" t="str">
        <f t="shared" ref="C3:C70" si="0">A3 &amp; "#" &amp; B3</f>
        <v>Jen paliva#Doprava - vnitrostátní letecká</v>
      </c>
      <c r="D3" s="8">
        <v>71.500000009597201</v>
      </c>
      <c r="E3" s="8">
        <v>0.5</v>
      </c>
      <c r="F3" s="8">
        <v>2.0226327949648</v>
      </c>
    </row>
    <row r="4" spans="1:6" x14ac:dyDescent="0.25">
      <c r="A4" t="s">
        <v>51</v>
      </c>
      <c r="B4" t="s">
        <v>23</v>
      </c>
      <c r="C4" t="str">
        <f t="shared" si="0"/>
        <v>Kapalná biopaliva#Doprava - vnitrostátní letecká</v>
      </c>
      <c r="D4" s="8">
        <v>0</v>
      </c>
      <c r="E4" s="8">
        <v>0</v>
      </c>
      <c r="F4" s="8">
        <v>0</v>
      </c>
    </row>
    <row r="5" spans="1:6" x14ac:dyDescent="0.25">
      <c r="A5" t="s">
        <v>50</v>
      </c>
      <c r="B5" t="s">
        <v>23</v>
      </c>
      <c r="C5" t="str">
        <f t="shared" si="0"/>
        <v>OZE mimo biomasu#Doprava - vnitrostátní letecká</v>
      </c>
      <c r="D5" s="8">
        <v>0</v>
      </c>
      <c r="E5" s="8">
        <v>0</v>
      </c>
      <c r="F5" s="8">
        <v>0</v>
      </c>
    </row>
    <row r="6" spans="1:6" x14ac:dyDescent="0.25">
      <c r="A6" t="s">
        <v>44</v>
      </c>
      <c r="B6" t="s">
        <v>23</v>
      </c>
      <c r="C6" t="str">
        <f t="shared" si="0"/>
        <v>Paliva a teplo#Doprava - vnitrostátní letecká</v>
      </c>
      <c r="D6" s="8">
        <v>71.500000009597201</v>
      </c>
      <c r="E6" s="8">
        <v>0.5</v>
      </c>
      <c r="F6" s="8">
        <v>2.0226327949648</v>
      </c>
    </row>
    <row r="7" spans="1:6" x14ac:dyDescent="0.25">
      <c r="A7" t="s">
        <v>52</v>
      </c>
      <c r="B7" t="s">
        <v>23</v>
      </c>
      <c r="C7" t="str">
        <f t="shared" si="0"/>
        <v>Plynná biopaliva#Doprava - vnitrostátní letecká</v>
      </c>
      <c r="D7" s="8">
        <v>0</v>
      </c>
      <c r="E7" s="8">
        <v>0</v>
      </c>
      <c r="F7" s="8">
        <v>0</v>
      </c>
    </row>
    <row r="8" spans="1:6" x14ac:dyDescent="0.25">
      <c r="A8" t="s">
        <v>13</v>
      </c>
      <c r="B8" t="s">
        <v>23</v>
      </c>
      <c r="C8" t="str">
        <f t="shared" si="0"/>
        <v>Teplo#Doprava - vnitrostátní letecká</v>
      </c>
      <c r="D8" s="8">
        <v>94.926334508551335</v>
      </c>
      <c r="E8" s="8">
        <v>1.1482742600397113</v>
      </c>
      <c r="F8" s="8">
        <v>1.1201869273631482</v>
      </c>
    </row>
    <row r="9" spans="1:6" x14ac:dyDescent="0.25">
      <c r="A9" t="s">
        <v>53</v>
      </c>
      <c r="B9" t="s">
        <v>23</v>
      </c>
      <c r="C9" t="str">
        <f t="shared" si="0"/>
        <v>Tuhá biopaliva#Doprava - vnitrostátní letecká</v>
      </c>
      <c r="D9" s="8">
        <v>0</v>
      </c>
      <c r="E9" s="8">
        <v>0</v>
      </c>
      <c r="F9" s="8">
        <v>0</v>
      </c>
    </row>
    <row r="10" spans="1:6" x14ac:dyDescent="0.25">
      <c r="A10" t="s">
        <v>15</v>
      </c>
      <c r="B10" t="s">
        <v>23</v>
      </c>
      <c r="C10" t="str">
        <f t="shared" si="0"/>
        <v>Všechny nositele energie#Doprava - vnitrostátní letecká</v>
      </c>
      <c r="D10" s="8">
        <v>71.500000009597201</v>
      </c>
      <c r="E10" s="8">
        <v>0.5</v>
      </c>
      <c r="F10" s="8">
        <v>2.0226327949648</v>
      </c>
    </row>
    <row r="11" spans="1:6" x14ac:dyDescent="0.25">
      <c r="A11" t="s">
        <v>54</v>
      </c>
      <c r="B11" t="s">
        <v>23</v>
      </c>
      <c r="C11" t="str">
        <f t="shared" si="0"/>
        <v>Zemní plyn#Doprava - vnitrostátní letecká</v>
      </c>
      <c r="D11" s="8">
        <v>0</v>
      </c>
      <c r="E11" s="8">
        <v>0</v>
      </c>
      <c r="F11" s="8">
        <v>0</v>
      </c>
    </row>
    <row r="12" spans="1:6" x14ac:dyDescent="0.25">
      <c r="A12" t="s">
        <v>281</v>
      </c>
      <c r="B12" t="s">
        <v>4</v>
      </c>
      <c r="C12" t="str">
        <f>A12 &amp; "#" &amp; B12</f>
        <v>Uhlí#Průmysl</v>
      </c>
      <c r="D12" s="8">
        <v>91.067062873090237</v>
      </c>
      <c r="E12" s="8">
        <v>8.6545593207436102</v>
      </c>
      <c r="F12" s="8">
        <v>1.2907092276710399</v>
      </c>
    </row>
    <row r="13" spans="1:6" x14ac:dyDescent="0.25">
      <c r="A13" t="s">
        <v>281</v>
      </c>
      <c r="B13" t="s">
        <v>6</v>
      </c>
      <c r="C13" t="str">
        <f>A13 &amp; "#" &amp; B13</f>
        <v>Uhlí#Služby</v>
      </c>
      <c r="D13" s="8">
        <v>98.637122251419527</v>
      </c>
      <c r="E13" s="8">
        <v>10</v>
      </c>
      <c r="F13" s="8">
        <v>1.5</v>
      </c>
    </row>
    <row r="14" spans="1:6" x14ac:dyDescent="0.25">
      <c r="A14" t="s">
        <v>281</v>
      </c>
      <c r="B14" t="s">
        <v>7</v>
      </c>
      <c r="C14" t="str">
        <f>A14 &amp; "#" &amp; B14</f>
        <v>Uhlí#Domácnosti</v>
      </c>
      <c r="D14" s="8">
        <v>96.63184356580588</v>
      </c>
      <c r="E14" s="8">
        <v>299.99999999999994</v>
      </c>
      <c r="F14" s="8">
        <v>1.5</v>
      </c>
    </row>
    <row r="15" spans="1:6" x14ac:dyDescent="0.25">
      <c r="A15" t="s">
        <v>12</v>
      </c>
      <c r="B15" t="s">
        <v>7</v>
      </c>
      <c r="C15" t="str">
        <f t="shared" si="0"/>
        <v>Elektřina#Domácnosti</v>
      </c>
      <c r="D15" s="8">
        <v>243.30535699975164</v>
      </c>
      <c r="E15" s="8">
        <v>2.5994178058499644</v>
      </c>
      <c r="F15" s="8">
        <v>3.4119963077868793</v>
      </c>
    </row>
    <row r="16" spans="1:6" x14ac:dyDescent="0.25">
      <c r="A16" t="s">
        <v>14</v>
      </c>
      <c r="B16" t="s">
        <v>7</v>
      </c>
      <c r="C16" t="str">
        <f t="shared" si="0"/>
        <v>Jen paliva#Domácnosti</v>
      </c>
      <c r="D16" s="8">
        <v>39.846764403305578</v>
      </c>
      <c r="E16" s="8">
        <v>173.94576103855837</v>
      </c>
      <c r="F16" s="8">
        <v>1.909669872117385</v>
      </c>
    </row>
    <row r="17" spans="1:6" x14ac:dyDescent="0.25">
      <c r="A17" t="s">
        <v>51</v>
      </c>
      <c r="B17" t="s">
        <v>7</v>
      </c>
      <c r="C17" t="str">
        <f t="shared" si="0"/>
        <v>Kapalná biopaliva#Domácnosti</v>
      </c>
      <c r="D17" s="8">
        <v>0</v>
      </c>
      <c r="E17" s="8">
        <v>299.04140421328759</v>
      </c>
      <c r="F17" s="8">
        <v>3.9712421263986299</v>
      </c>
    </row>
    <row r="18" spans="1:6" x14ac:dyDescent="0.25">
      <c r="A18" t="s">
        <v>50</v>
      </c>
      <c r="B18" t="s">
        <v>7</v>
      </c>
      <c r="C18" t="str">
        <f t="shared" si="0"/>
        <v>OZE mimo biomasu#Domácnosti</v>
      </c>
      <c r="D18" s="8">
        <v>0</v>
      </c>
      <c r="E18" s="8">
        <v>0</v>
      </c>
      <c r="F18" s="8">
        <v>0</v>
      </c>
    </row>
    <row r="19" spans="1:6" x14ac:dyDescent="0.25">
      <c r="A19" t="s">
        <v>44</v>
      </c>
      <c r="B19" t="s">
        <v>7</v>
      </c>
      <c r="C19" t="str">
        <f t="shared" si="0"/>
        <v>Paliva a teplo#Domácnosti</v>
      </c>
      <c r="D19" s="8">
        <v>57.506845494005361</v>
      </c>
      <c r="E19" s="8">
        <v>118.54195844992618</v>
      </c>
      <c r="F19" s="8">
        <v>1.6565391233217184</v>
      </c>
    </row>
    <row r="20" spans="1:6" x14ac:dyDescent="0.25">
      <c r="A20" t="s">
        <v>52</v>
      </c>
      <c r="B20" t="s">
        <v>7</v>
      </c>
      <c r="C20" t="str">
        <f t="shared" si="0"/>
        <v>Plynná biopaliva#Domácnosti</v>
      </c>
      <c r="D20" s="8">
        <v>0</v>
      </c>
      <c r="E20" s="8">
        <v>299.04140421328759</v>
      </c>
      <c r="F20" s="8">
        <v>3.9712421263986299</v>
      </c>
    </row>
    <row r="21" spans="1:6" x14ac:dyDescent="0.25">
      <c r="A21" t="s">
        <v>13</v>
      </c>
      <c r="B21" t="s">
        <v>7</v>
      </c>
      <c r="C21" t="str">
        <f t="shared" si="0"/>
        <v>Teplo#Domácnosti</v>
      </c>
      <c r="D21" s="8">
        <v>94.926334508551335</v>
      </c>
      <c r="E21" s="8">
        <v>1.1482742600397113</v>
      </c>
      <c r="F21" s="8">
        <v>1.1201869273631482</v>
      </c>
    </row>
    <row r="22" spans="1:6" x14ac:dyDescent="0.25">
      <c r="A22" t="s">
        <v>53</v>
      </c>
      <c r="B22" t="s">
        <v>7</v>
      </c>
      <c r="C22" t="str">
        <f t="shared" si="0"/>
        <v>Tuhá biopaliva#Domácnosti</v>
      </c>
      <c r="D22" s="8">
        <v>0</v>
      </c>
      <c r="E22" s="8">
        <v>299.04140421328759</v>
      </c>
      <c r="F22" s="8">
        <v>3.9712421263986299</v>
      </c>
    </row>
    <row r="23" spans="1:6" x14ac:dyDescent="0.25">
      <c r="A23" t="s">
        <v>15</v>
      </c>
      <c r="B23" t="s">
        <v>7</v>
      </c>
      <c r="C23" t="str">
        <f t="shared" si="0"/>
        <v>Všechny nositele energie#Domácnosti</v>
      </c>
      <c r="D23" s="8">
        <v>87.6775877373843</v>
      </c>
      <c r="E23" s="8">
        <v>99.433316338666458</v>
      </c>
      <c r="F23" s="8">
        <v>1.9395690931185654</v>
      </c>
    </row>
    <row r="24" spans="1:6" x14ac:dyDescent="0.25">
      <c r="A24" t="s">
        <v>54</v>
      </c>
      <c r="B24" t="s">
        <v>7</v>
      </c>
      <c r="C24" t="str">
        <f t="shared" si="0"/>
        <v>Zemní plyn#Domácnosti</v>
      </c>
      <c r="D24" s="8">
        <v>55.420243567147281</v>
      </c>
      <c r="E24" s="8">
        <v>5</v>
      </c>
      <c r="F24" s="8">
        <v>0.10000000000001</v>
      </c>
    </row>
    <row r="25" spans="1:6" x14ac:dyDescent="0.25">
      <c r="A25" t="s">
        <v>282</v>
      </c>
      <c r="B25" t="s">
        <v>21</v>
      </c>
      <c r="C25" t="str">
        <f>A25 &amp; "#" &amp; B25</f>
        <v>Kapalná včetně biosložek#Doprava - silniční</v>
      </c>
      <c r="D25" s="8">
        <v>68.937816779780803</v>
      </c>
      <c r="E25" s="8">
        <v>3.5591620889190114</v>
      </c>
      <c r="F25" s="8">
        <v>5.0707518062959549</v>
      </c>
    </row>
    <row r="26" spans="1:6" x14ac:dyDescent="0.25">
      <c r="A26" t="s">
        <v>12</v>
      </c>
      <c r="B26" t="s">
        <v>19</v>
      </c>
      <c r="C26" t="str">
        <f t="shared" si="0"/>
        <v>Elektřina#Doprava</v>
      </c>
      <c r="D26" s="8">
        <v>243.30535699975164</v>
      </c>
      <c r="E26" s="8">
        <v>2.5994178058499644</v>
      </c>
      <c r="F26" s="8">
        <v>3.4119963077868793</v>
      </c>
    </row>
    <row r="27" spans="1:6" x14ac:dyDescent="0.25">
      <c r="A27" t="s">
        <v>14</v>
      </c>
      <c r="B27" t="s">
        <v>19</v>
      </c>
      <c r="C27" t="str">
        <f t="shared" si="0"/>
        <v>Jen paliva#Doprava</v>
      </c>
      <c r="D27" s="8">
        <v>69.007996035561405</v>
      </c>
      <c r="E27" s="8">
        <v>4.0307966302289957</v>
      </c>
      <c r="F27" s="8">
        <v>5.0501578447712401</v>
      </c>
    </row>
    <row r="28" spans="1:6" x14ac:dyDescent="0.25">
      <c r="A28" t="s">
        <v>51</v>
      </c>
      <c r="B28" t="s">
        <v>19</v>
      </c>
      <c r="C28" t="str">
        <f t="shared" si="0"/>
        <v>Kapalná biopaliva#Doprava</v>
      </c>
      <c r="D28" s="8">
        <v>0</v>
      </c>
      <c r="E28" s="8">
        <v>1.9154180763653901</v>
      </c>
      <c r="F28" s="8">
        <v>0.6</v>
      </c>
    </row>
    <row r="29" spans="1:6" x14ac:dyDescent="0.25">
      <c r="A29" t="s">
        <v>50</v>
      </c>
      <c r="B29" t="s">
        <v>19</v>
      </c>
      <c r="C29" t="str">
        <f t="shared" si="0"/>
        <v>OZE mimo biomasu#Doprava</v>
      </c>
      <c r="D29" s="8">
        <v>0</v>
      </c>
      <c r="E29" s="8">
        <v>0</v>
      </c>
      <c r="F29" s="8">
        <v>0</v>
      </c>
    </row>
    <row r="30" spans="1:6" x14ac:dyDescent="0.25">
      <c r="A30" t="s">
        <v>44</v>
      </c>
      <c r="B30" t="s">
        <v>19</v>
      </c>
      <c r="C30" t="str">
        <f t="shared" si="0"/>
        <v>Paliva a teplo#Doprava</v>
      </c>
      <c r="D30" s="8">
        <v>69.007996035561405</v>
      </c>
      <c r="E30" s="8">
        <v>4.0307966302289957</v>
      </c>
      <c r="F30" s="8">
        <v>5.0501578447712401</v>
      </c>
    </row>
    <row r="31" spans="1:6" x14ac:dyDescent="0.25">
      <c r="A31" t="s">
        <v>52</v>
      </c>
      <c r="B31" t="s">
        <v>19</v>
      </c>
      <c r="C31" t="str">
        <f t="shared" si="0"/>
        <v>Plynná biopaliva#Doprava</v>
      </c>
      <c r="D31" s="8">
        <v>0</v>
      </c>
      <c r="E31" s="8">
        <v>1.9154180763653901</v>
      </c>
      <c r="F31" s="8">
        <v>0.6</v>
      </c>
    </row>
    <row r="32" spans="1:6" x14ac:dyDescent="0.25">
      <c r="A32" t="s">
        <v>13</v>
      </c>
      <c r="B32" t="s">
        <v>19</v>
      </c>
      <c r="C32" t="str">
        <f t="shared" si="0"/>
        <v>Teplo#Doprava</v>
      </c>
      <c r="D32" s="8">
        <v>94.926334508551335</v>
      </c>
      <c r="E32" s="8">
        <v>1.1482742600397113</v>
      </c>
      <c r="F32" s="8">
        <v>1.1201869273631482</v>
      </c>
    </row>
    <row r="33" spans="1:6" x14ac:dyDescent="0.25">
      <c r="A33" t="s">
        <v>53</v>
      </c>
      <c r="B33" t="s">
        <v>19</v>
      </c>
      <c r="C33" t="str">
        <f t="shared" si="0"/>
        <v>Tuhá biopaliva#Doprava</v>
      </c>
      <c r="D33" s="8">
        <v>0</v>
      </c>
      <c r="E33" s="8">
        <v>1.9154180763653901</v>
      </c>
      <c r="F33" s="8">
        <v>0.6</v>
      </c>
    </row>
    <row r="34" spans="1:6" x14ac:dyDescent="0.25">
      <c r="A34" t="s">
        <v>15</v>
      </c>
      <c r="B34" t="s">
        <v>19</v>
      </c>
      <c r="C34" t="str">
        <f t="shared" si="0"/>
        <v>Všechny nositele energie#Doprava</v>
      </c>
      <c r="D34" s="8">
        <v>72.723971913563972</v>
      </c>
      <c r="E34" s="8">
        <v>4.0002799938654139</v>
      </c>
      <c r="F34" s="8">
        <v>5.0152326530068274</v>
      </c>
    </row>
    <row r="35" spans="1:6" x14ac:dyDescent="0.25">
      <c r="A35" t="s">
        <v>54</v>
      </c>
      <c r="B35" t="s">
        <v>19</v>
      </c>
      <c r="C35" t="str">
        <f t="shared" si="0"/>
        <v>Zemní plyn#Doprava</v>
      </c>
      <c r="D35" s="8">
        <v>52.432033843213432</v>
      </c>
      <c r="E35" s="8">
        <v>48.155358898721779</v>
      </c>
      <c r="F35" s="8">
        <v>1.6027531956735499</v>
      </c>
    </row>
    <row r="36" spans="1:6" x14ac:dyDescent="0.25">
      <c r="A36" t="s">
        <v>12</v>
      </c>
      <c r="B36" t="s">
        <v>26</v>
      </c>
      <c r="C36" t="str">
        <f t="shared" si="0"/>
        <v>Elektřina#Průmysl - chemický a petrochemický</v>
      </c>
      <c r="D36" s="8">
        <v>243.30535699975164</v>
      </c>
      <c r="E36" s="8">
        <v>2.5994178058499644</v>
      </c>
      <c r="F36" s="8">
        <v>3.4119963077868793</v>
      </c>
    </row>
    <row r="37" spans="1:6" x14ac:dyDescent="0.25">
      <c r="A37" t="s">
        <v>14</v>
      </c>
      <c r="B37" t="s">
        <v>26</v>
      </c>
      <c r="C37" t="str">
        <f t="shared" si="0"/>
        <v>Jen paliva#Průmysl - chemický a petrochemický</v>
      </c>
      <c r="D37" s="8">
        <v>70.46735852181466</v>
      </c>
      <c r="E37" s="8">
        <v>4.3299376961200826</v>
      </c>
      <c r="F37" s="8">
        <v>0.62880985947407675</v>
      </c>
    </row>
    <row r="38" spans="1:6" x14ac:dyDescent="0.25">
      <c r="A38" t="s">
        <v>51</v>
      </c>
      <c r="B38" t="s">
        <v>26</v>
      </c>
      <c r="C38" t="str">
        <f t="shared" si="0"/>
        <v>Kapalná biopaliva#Průmysl - chemický a petrochemický</v>
      </c>
      <c r="D38" s="8">
        <v>0</v>
      </c>
      <c r="E38" s="8">
        <v>29.99999999987158</v>
      </c>
      <c r="F38" s="8">
        <v>3.9999999998322302</v>
      </c>
    </row>
    <row r="39" spans="1:6" x14ac:dyDescent="0.25">
      <c r="A39" t="s">
        <v>50</v>
      </c>
      <c r="B39" t="s">
        <v>26</v>
      </c>
      <c r="C39" t="str">
        <f t="shared" si="0"/>
        <v>OZE mimo biomasu#Průmysl - chemický a petrochemický</v>
      </c>
      <c r="D39" s="8">
        <v>0</v>
      </c>
      <c r="E39" s="8">
        <v>0</v>
      </c>
      <c r="F39" s="8">
        <v>0</v>
      </c>
    </row>
    <row r="40" spans="1:6" x14ac:dyDescent="0.25">
      <c r="A40" t="s">
        <v>44</v>
      </c>
      <c r="B40" t="s">
        <v>26</v>
      </c>
      <c r="C40" t="str">
        <f t="shared" si="0"/>
        <v>Paliva a teplo#Průmysl - chemický a petrochemický</v>
      </c>
      <c r="D40" s="8">
        <v>81.58831163338229</v>
      </c>
      <c r="E40" s="8">
        <v>2.753664397659465</v>
      </c>
      <c r="F40" s="8">
        <v>0.82947077813519654</v>
      </c>
    </row>
    <row r="41" spans="1:6" x14ac:dyDescent="0.25">
      <c r="A41" t="s">
        <v>52</v>
      </c>
      <c r="B41" t="s">
        <v>26</v>
      </c>
      <c r="C41" t="str">
        <f t="shared" si="0"/>
        <v>Plynná biopaliva#Průmysl - chemický a petrochemický</v>
      </c>
      <c r="D41" s="8">
        <v>0</v>
      </c>
      <c r="E41" s="8">
        <v>29.99999999987158</v>
      </c>
      <c r="F41" s="8">
        <v>3.9999999998322302</v>
      </c>
    </row>
    <row r="42" spans="1:6" x14ac:dyDescent="0.25">
      <c r="A42" t="s">
        <v>13</v>
      </c>
      <c r="B42" t="s">
        <v>26</v>
      </c>
      <c r="C42" t="str">
        <f t="shared" si="0"/>
        <v>Teplo#Průmysl - chemický a petrochemický</v>
      </c>
      <c r="D42" s="8">
        <v>94.926334508551335</v>
      </c>
      <c r="E42" s="8">
        <v>1.1482742600397113</v>
      </c>
      <c r="F42" s="8">
        <v>1.1201869273631482</v>
      </c>
    </row>
    <row r="43" spans="1:6" x14ac:dyDescent="0.25">
      <c r="A43" t="s">
        <v>53</v>
      </c>
      <c r="B43" t="s">
        <v>26</v>
      </c>
      <c r="C43" t="str">
        <f t="shared" si="0"/>
        <v>Tuhá biopaliva#Průmysl - chemický a petrochemický</v>
      </c>
      <c r="D43" s="8">
        <v>0</v>
      </c>
      <c r="E43" s="8">
        <v>29.99999999987158</v>
      </c>
      <c r="F43" s="8">
        <v>3.9999999998322302</v>
      </c>
    </row>
    <row r="44" spans="1:6" x14ac:dyDescent="0.25">
      <c r="A44" t="s">
        <v>15</v>
      </c>
      <c r="B44" t="s">
        <v>26</v>
      </c>
      <c r="C44" t="str">
        <f t="shared" si="0"/>
        <v>Všechny nositele energie#Průmysl - chemický a petrochemický</v>
      </c>
      <c r="D44" s="8">
        <v>118.07577012610967</v>
      </c>
      <c r="E44" s="8">
        <v>2.7188624625663311</v>
      </c>
      <c r="F44" s="8">
        <v>1.412153901340282</v>
      </c>
    </row>
    <row r="45" spans="1:6" x14ac:dyDescent="0.25">
      <c r="A45" t="s">
        <v>54</v>
      </c>
      <c r="B45" t="s">
        <v>26</v>
      </c>
      <c r="C45" t="str">
        <f t="shared" si="0"/>
        <v>Zemní plyn#Průmysl - chemický a petrochemický</v>
      </c>
      <c r="D45" s="8">
        <v>55.420243567147487</v>
      </c>
      <c r="E45" s="8">
        <v>1.0000000000003</v>
      </c>
      <c r="F45" s="8">
        <v>9.9999999999950004E-2</v>
      </c>
    </row>
    <row r="46" spans="1:6" x14ac:dyDescent="0.25">
      <c r="A46" t="s">
        <v>12</v>
      </c>
      <c r="B46" t="s">
        <v>25</v>
      </c>
      <c r="C46" t="str">
        <f t="shared" si="0"/>
        <v>Elektřina#Průmysl - neželezné kovy</v>
      </c>
      <c r="D46" s="8">
        <v>243.30535699975164</v>
      </c>
      <c r="E46" s="8">
        <v>2.5994178058499644</v>
      </c>
      <c r="F46" s="8">
        <v>3.4119963077868793</v>
      </c>
    </row>
    <row r="47" spans="1:6" x14ac:dyDescent="0.25">
      <c r="A47" t="s">
        <v>14</v>
      </c>
      <c r="B47" t="s">
        <v>25</v>
      </c>
      <c r="C47" t="str">
        <f t="shared" si="0"/>
        <v>Jen paliva#Průmysl - neželezné kovy</v>
      </c>
      <c r="D47" s="8">
        <v>57.897207062615628</v>
      </c>
      <c r="E47" s="8">
        <v>1.6573975226022835</v>
      </c>
      <c r="F47" s="8">
        <v>0.20151384283322618</v>
      </c>
    </row>
    <row r="48" spans="1:6" x14ac:dyDescent="0.25">
      <c r="A48" t="s">
        <v>51</v>
      </c>
      <c r="B48" t="s">
        <v>25</v>
      </c>
      <c r="C48" t="str">
        <f t="shared" si="0"/>
        <v>Kapalná biopaliva#Průmysl - neželezné kovy</v>
      </c>
      <c r="D48" s="8">
        <v>0</v>
      </c>
      <c r="E48" s="8">
        <v>30.000000000022229</v>
      </c>
      <c r="F48" s="8">
        <v>4.0000000000268203</v>
      </c>
    </row>
    <row r="49" spans="1:6" x14ac:dyDescent="0.25">
      <c r="A49" t="s">
        <v>50</v>
      </c>
      <c r="B49" t="s">
        <v>25</v>
      </c>
      <c r="C49" t="str">
        <f t="shared" si="0"/>
        <v>OZE mimo biomasu#Průmysl - neželezné kovy</v>
      </c>
      <c r="D49" s="8">
        <v>0</v>
      </c>
      <c r="E49" s="8">
        <v>0</v>
      </c>
      <c r="F49" s="8">
        <v>0</v>
      </c>
    </row>
    <row r="50" spans="1:6" x14ac:dyDescent="0.25">
      <c r="A50" t="s">
        <v>44</v>
      </c>
      <c r="B50" t="s">
        <v>25</v>
      </c>
      <c r="C50" t="str">
        <f t="shared" si="0"/>
        <v>Paliva a teplo#Průmysl - neželezné kovy</v>
      </c>
      <c r="D50" s="8">
        <v>59.332810125971911</v>
      </c>
      <c r="E50" s="8">
        <v>1.6368950934941435</v>
      </c>
      <c r="F50" s="8">
        <v>0.2356530941147843</v>
      </c>
    </row>
    <row r="51" spans="1:6" x14ac:dyDescent="0.25">
      <c r="A51" t="s">
        <v>52</v>
      </c>
      <c r="B51" t="s">
        <v>25</v>
      </c>
      <c r="C51" t="str">
        <f t="shared" si="0"/>
        <v>Plynná biopaliva#Průmysl - neželezné kovy</v>
      </c>
      <c r="D51" s="8">
        <v>0</v>
      </c>
      <c r="E51" s="8">
        <v>30.000000000022229</v>
      </c>
      <c r="F51" s="8">
        <v>4.0000000000268203</v>
      </c>
    </row>
    <row r="52" spans="1:6" x14ac:dyDescent="0.25">
      <c r="A52" t="s">
        <v>13</v>
      </c>
      <c r="B52" t="s">
        <v>25</v>
      </c>
      <c r="C52" t="str">
        <f t="shared" si="0"/>
        <v>Teplo#Průmysl - neželezné kovy</v>
      </c>
      <c r="D52" s="8">
        <v>94.926334508551335</v>
      </c>
      <c r="E52" s="8">
        <v>1.1482742600397113</v>
      </c>
      <c r="F52" s="8">
        <v>1.1201869273631482</v>
      </c>
    </row>
    <row r="53" spans="1:6" x14ac:dyDescent="0.25">
      <c r="A53" t="s">
        <v>53</v>
      </c>
      <c r="B53" t="s">
        <v>25</v>
      </c>
      <c r="C53" t="str">
        <f t="shared" si="0"/>
        <v>Tuhá biopaliva#Průmysl - neželezné kovy</v>
      </c>
      <c r="D53" s="8">
        <v>0</v>
      </c>
      <c r="E53" s="8">
        <v>30.000000000022229</v>
      </c>
      <c r="F53" s="8">
        <v>4.0000000000268203</v>
      </c>
    </row>
    <row r="54" spans="1:6" x14ac:dyDescent="0.25">
      <c r="A54" t="s">
        <v>15</v>
      </c>
      <c r="B54" t="s">
        <v>25</v>
      </c>
      <c r="C54" t="str">
        <f t="shared" si="0"/>
        <v>Všechny nositele energie#Průmysl - neželezné kovy</v>
      </c>
      <c r="D54" s="8">
        <v>141.02502425165355</v>
      </c>
      <c r="E54" s="8">
        <v>2.0642991429284905</v>
      </c>
      <c r="F54" s="8">
        <v>1.6460945668089837</v>
      </c>
    </row>
    <row r="55" spans="1:6" x14ac:dyDescent="0.25">
      <c r="A55" t="s">
        <v>54</v>
      </c>
      <c r="B55" t="s">
        <v>25</v>
      </c>
      <c r="C55" t="str">
        <f t="shared" si="0"/>
        <v>Zemní plyn#Průmysl - neželezné kovy</v>
      </c>
      <c r="D55" s="8">
        <v>55.420243567147168</v>
      </c>
      <c r="E55" s="8">
        <v>0.99999999999996003</v>
      </c>
      <c r="F55" s="8">
        <v>0.10000000000004</v>
      </c>
    </row>
    <row r="56" spans="1:6" x14ac:dyDescent="0.25">
      <c r="A56" t="s">
        <v>12</v>
      </c>
      <c r="B56" t="s">
        <v>22</v>
      </c>
      <c r="C56" t="str">
        <f t="shared" si="0"/>
        <v>Elektřina#Doprava - vnitrostátní vodní</v>
      </c>
      <c r="D56" s="8">
        <v>243.30535699975164</v>
      </c>
      <c r="E56" s="8">
        <v>2.5994178058499644</v>
      </c>
      <c r="F56" s="8">
        <v>3.4119963077868793</v>
      </c>
    </row>
    <row r="57" spans="1:6" x14ac:dyDescent="0.25">
      <c r="A57" t="s">
        <v>14</v>
      </c>
      <c r="B57" t="s">
        <v>22</v>
      </c>
      <c r="C57" t="str">
        <f t="shared" si="0"/>
        <v>Jen paliva#Doprava - vnitrostátní vodní</v>
      </c>
      <c r="D57" s="8">
        <v>74.099999999999994</v>
      </c>
      <c r="E57" s="8">
        <v>7</v>
      </c>
      <c r="F57" s="8">
        <v>2</v>
      </c>
    </row>
    <row r="58" spans="1:6" x14ac:dyDescent="0.25">
      <c r="A58" t="s">
        <v>51</v>
      </c>
      <c r="B58" t="s">
        <v>22</v>
      </c>
      <c r="C58" t="str">
        <f t="shared" si="0"/>
        <v>Kapalná biopaliva#Doprava - vnitrostátní vodní</v>
      </c>
      <c r="D58" s="8">
        <v>0</v>
      </c>
      <c r="E58" s="8">
        <v>0</v>
      </c>
      <c r="F58" s="8">
        <v>0</v>
      </c>
    </row>
    <row r="59" spans="1:6" x14ac:dyDescent="0.25">
      <c r="A59" t="s">
        <v>50</v>
      </c>
      <c r="B59" t="s">
        <v>22</v>
      </c>
      <c r="C59" t="str">
        <f t="shared" si="0"/>
        <v>OZE mimo biomasu#Doprava - vnitrostátní vodní</v>
      </c>
      <c r="D59" s="8">
        <v>0</v>
      </c>
      <c r="E59" s="8">
        <v>0</v>
      </c>
      <c r="F59" s="8">
        <v>0</v>
      </c>
    </row>
    <row r="60" spans="1:6" x14ac:dyDescent="0.25">
      <c r="A60" t="s">
        <v>44</v>
      </c>
      <c r="B60" t="s">
        <v>22</v>
      </c>
      <c r="C60" t="str">
        <f t="shared" si="0"/>
        <v>Paliva a teplo#Doprava - vnitrostátní vodní</v>
      </c>
      <c r="D60" s="8">
        <v>74.099999999999994</v>
      </c>
      <c r="E60" s="8">
        <v>7</v>
      </c>
      <c r="F60" s="8">
        <v>2</v>
      </c>
    </row>
    <row r="61" spans="1:6" x14ac:dyDescent="0.25">
      <c r="A61" t="s">
        <v>52</v>
      </c>
      <c r="B61" t="s">
        <v>22</v>
      </c>
      <c r="C61" t="str">
        <f t="shared" si="0"/>
        <v>Plynná biopaliva#Doprava - vnitrostátní vodní</v>
      </c>
      <c r="D61" s="8">
        <v>0</v>
      </c>
      <c r="E61" s="8">
        <v>0</v>
      </c>
      <c r="F61" s="8">
        <v>0</v>
      </c>
    </row>
    <row r="62" spans="1:6" x14ac:dyDescent="0.25">
      <c r="A62" t="s">
        <v>13</v>
      </c>
      <c r="B62" t="s">
        <v>22</v>
      </c>
      <c r="C62" t="str">
        <f t="shared" si="0"/>
        <v>Teplo#Doprava - vnitrostátní vodní</v>
      </c>
      <c r="D62" s="8">
        <v>94.926334508551335</v>
      </c>
      <c r="E62" s="8">
        <v>1.1482742600397113</v>
      </c>
      <c r="F62" s="8">
        <v>1.1201869273631482</v>
      </c>
    </row>
    <row r="63" spans="1:6" x14ac:dyDescent="0.25">
      <c r="A63" t="s">
        <v>53</v>
      </c>
      <c r="B63" t="s">
        <v>22</v>
      </c>
      <c r="C63" t="str">
        <f t="shared" si="0"/>
        <v>Tuhá biopaliva#Doprava - vnitrostátní vodní</v>
      </c>
      <c r="D63" s="8">
        <v>0</v>
      </c>
      <c r="E63" s="8">
        <v>0</v>
      </c>
      <c r="F63" s="8">
        <v>0</v>
      </c>
    </row>
    <row r="64" spans="1:6" x14ac:dyDescent="0.25">
      <c r="A64" t="s">
        <v>15</v>
      </c>
      <c r="B64" t="s">
        <v>22</v>
      </c>
      <c r="C64" t="str">
        <f t="shared" si="0"/>
        <v>Všechny nositele energie#Doprava - vnitrostátní vodní</v>
      </c>
      <c r="D64" s="8">
        <v>74.099999999999994</v>
      </c>
      <c r="E64" s="8">
        <v>7</v>
      </c>
      <c r="F64" s="8">
        <v>2</v>
      </c>
    </row>
    <row r="65" spans="1:6" x14ac:dyDescent="0.25">
      <c r="A65" t="s">
        <v>54</v>
      </c>
      <c r="B65" t="s">
        <v>22</v>
      </c>
      <c r="C65" t="str">
        <f t="shared" si="0"/>
        <v>Zemní plyn#Doprava - vnitrostátní vodní</v>
      </c>
      <c r="D65" s="8">
        <v>0</v>
      </c>
      <c r="E65" s="8">
        <v>0</v>
      </c>
      <c r="F65" s="8">
        <v>0</v>
      </c>
    </row>
    <row r="66" spans="1:6" x14ac:dyDescent="0.25">
      <c r="A66" t="s">
        <v>12</v>
      </c>
      <c r="B66" t="s">
        <v>27</v>
      </c>
      <c r="C66" t="str">
        <f t="shared" si="0"/>
        <v>Elektřina#Průmysl - nekovové materiály</v>
      </c>
      <c r="D66" s="8">
        <v>243.30535699975164</v>
      </c>
      <c r="E66" s="8">
        <v>2.5994178058499644</v>
      </c>
      <c r="F66" s="8">
        <v>3.4119963077868793</v>
      </c>
    </row>
    <row r="67" spans="1:6" x14ac:dyDescent="0.25">
      <c r="A67" t="s">
        <v>14</v>
      </c>
      <c r="B67" t="s">
        <v>27</v>
      </c>
      <c r="C67" t="str">
        <f t="shared" si="0"/>
        <v>Jen paliva#Průmysl - nekovové materiály</v>
      </c>
      <c r="D67" s="8">
        <v>49.613762499399094</v>
      </c>
      <c r="E67" s="8">
        <v>8.8688679862843625</v>
      </c>
      <c r="F67" s="8">
        <v>1.1925392711196521</v>
      </c>
    </row>
    <row r="68" spans="1:6" x14ac:dyDescent="0.25">
      <c r="A68" t="s">
        <v>51</v>
      </c>
      <c r="B68" t="s">
        <v>27</v>
      </c>
      <c r="C68" t="str">
        <f t="shared" si="0"/>
        <v>Kapalná biopaliva#Průmysl - nekovové materiály</v>
      </c>
      <c r="D68" s="8">
        <v>0</v>
      </c>
      <c r="E68" s="8">
        <v>30.000000000022229</v>
      </c>
      <c r="F68" s="8">
        <v>4.0000000000268203</v>
      </c>
    </row>
    <row r="69" spans="1:6" x14ac:dyDescent="0.25">
      <c r="A69" t="s">
        <v>50</v>
      </c>
      <c r="B69" t="s">
        <v>27</v>
      </c>
      <c r="C69" t="str">
        <f t="shared" si="0"/>
        <v>OZE mimo biomasu#Průmysl - nekovové materiály</v>
      </c>
      <c r="D69" s="8">
        <v>0</v>
      </c>
      <c r="E69" s="8">
        <v>0</v>
      </c>
      <c r="F69" s="8">
        <v>0</v>
      </c>
    </row>
    <row r="70" spans="1:6" x14ac:dyDescent="0.25">
      <c r="A70" t="s">
        <v>44</v>
      </c>
      <c r="B70" t="s">
        <v>27</v>
      </c>
      <c r="C70" t="str">
        <f t="shared" si="0"/>
        <v>Paliva a teplo#Průmysl - nekovové materiály</v>
      </c>
      <c r="D70" s="8">
        <v>50.536825663420736</v>
      </c>
      <c r="E70" s="8">
        <v>8.7042297336179608</v>
      </c>
      <c r="F70" s="8">
        <v>1.1891233598447335</v>
      </c>
    </row>
    <row r="71" spans="1:6" x14ac:dyDescent="0.25">
      <c r="A71" t="s">
        <v>52</v>
      </c>
      <c r="B71" t="s">
        <v>27</v>
      </c>
      <c r="C71" t="str">
        <f t="shared" ref="C71:C115" si="1">A71 &amp; "#" &amp; B71</f>
        <v>Plynná biopaliva#Průmysl - nekovové materiály</v>
      </c>
      <c r="D71" s="8">
        <v>0</v>
      </c>
      <c r="E71" s="8">
        <v>30.000000000022229</v>
      </c>
      <c r="F71" s="8">
        <v>4.0000000000268203</v>
      </c>
    </row>
    <row r="72" spans="1:6" x14ac:dyDescent="0.25">
      <c r="A72" t="s">
        <v>13</v>
      </c>
      <c r="B72" t="s">
        <v>27</v>
      </c>
      <c r="C72" t="str">
        <f t="shared" si="1"/>
        <v>Teplo#Průmysl - nekovové materiály</v>
      </c>
      <c r="D72" s="8">
        <v>94.926334508551335</v>
      </c>
      <c r="E72" s="8">
        <v>1.1482742600397113</v>
      </c>
      <c r="F72" s="8">
        <v>1.1201869273631482</v>
      </c>
    </row>
    <row r="73" spans="1:6" x14ac:dyDescent="0.25">
      <c r="A73" t="s">
        <v>53</v>
      </c>
      <c r="B73" t="s">
        <v>27</v>
      </c>
      <c r="C73" t="str">
        <f t="shared" si="1"/>
        <v>Tuhá biopaliva#Průmysl - nekovové materiály</v>
      </c>
      <c r="D73" s="8">
        <v>0</v>
      </c>
      <c r="E73" s="8">
        <v>30.000000000022229</v>
      </c>
      <c r="F73" s="8">
        <v>4.0000000000268203</v>
      </c>
    </row>
    <row r="74" spans="1:6" x14ac:dyDescent="0.25">
      <c r="A74" t="s">
        <v>15</v>
      </c>
      <c r="B74" t="s">
        <v>27</v>
      </c>
      <c r="C74" t="str">
        <f t="shared" si="1"/>
        <v>Všechny nositele energie#Průmysl - nekovové materiály</v>
      </c>
      <c r="D74" s="8">
        <v>92.735855423542091</v>
      </c>
      <c r="E74" s="8">
        <v>7.367823119768989</v>
      </c>
      <c r="F74" s="8">
        <v>1.6757332905886546</v>
      </c>
    </row>
    <row r="75" spans="1:6" x14ac:dyDescent="0.25">
      <c r="A75" t="s">
        <v>54</v>
      </c>
      <c r="B75" t="s">
        <v>27</v>
      </c>
      <c r="C75" t="str">
        <f t="shared" si="1"/>
        <v>Zemní plyn#Průmysl - nekovové materiály</v>
      </c>
      <c r="D75" s="8">
        <v>55.420243567147168</v>
      </c>
      <c r="E75" s="8">
        <v>0.99999999999996003</v>
      </c>
      <c r="F75" s="8">
        <v>0.10000000000004</v>
      </c>
    </row>
    <row r="76" spans="1:6" x14ac:dyDescent="0.25">
      <c r="A76" t="s">
        <v>12</v>
      </c>
      <c r="B76" t="s">
        <v>31</v>
      </c>
      <c r="C76" t="str">
        <f t="shared" si="1"/>
        <v>Elektřina#Průmysl - železo a ocel</v>
      </c>
      <c r="D76" s="8">
        <v>243.30535699975164</v>
      </c>
      <c r="E76" s="8">
        <v>2.5994178058499644</v>
      </c>
      <c r="F76" s="8">
        <v>3.4119963077868793</v>
      </c>
    </row>
    <row r="77" spans="1:6" x14ac:dyDescent="0.25">
      <c r="A77" t="s">
        <v>14</v>
      </c>
      <c r="B77" t="s">
        <v>31</v>
      </c>
      <c r="C77" t="str">
        <f t="shared" si="1"/>
        <v>Jen paliva#Průmysl - železo a ocel</v>
      </c>
      <c r="D77" s="8">
        <v>74.978626781675288</v>
      </c>
      <c r="E77" s="8">
        <v>4.9758415008499162</v>
      </c>
      <c r="F77" s="8">
        <v>0.71843703509528445</v>
      </c>
    </row>
    <row r="78" spans="1:6" x14ac:dyDescent="0.25">
      <c r="A78" t="s">
        <v>51</v>
      </c>
      <c r="B78" t="s">
        <v>31</v>
      </c>
      <c r="C78" t="str">
        <f t="shared" si="1"/>
        <v>Kapalná biopaliva#Průmysl - železo a ocel</v>
      </c>
      <c r="D78" s="8">
        <v>0</v>
      </c>
      <c r="E78" s="8">
        <v>30.000000000499309</v>
      </c>
      <c r="F78" s="8">
        <v>3.9999999989534398</v>
      </c>
    </row>
    <row r="79" spans="1:6" x14ac:dyDescent="0.25">
      <c r="A79" t="s">
        <v>50</v>
      </c>
      <c r="B79" t="s">
        <v>31</v>
      </c>
      <c r="C79" t="str">
        <f t="shared" si="1"/>
        <v>OZE mimo biomasu#Průmysl - železo a ocel</v>
      </c>
      <c r="D79" s="8">
        <v>0</v>
      </c>
      <c r="E79" s="8">
        <v>0</v>
      </c>
      <c r="F79" s="8">
        <v>0</v>
      </c>
    </row>
    <row r="80" spans="1:6" x14ac:dyDescent="0.25">
      <c r="A80" t="s">
        <v>44</v>
      </c>
      <c r="B80" t="s">
        <v>31</v>
      </c>
      <c r="C80" t="str">
        <f t="shared" si="1"/>
        <v>Paliva a teplo#Průmysl - železo a ocel</v>
      </c>
      <c r="D80" s="8">
        <v>76.600419211933925</v>
      </c>
      <c r="E80" s="8">
        <v>4.6292893775378801</v>
      </c>
      <c r="F80" s="8">
        <v>0.74695290682950088</v>
      </c>
    </row>
    <row r="81" spans="1:6" x14ac:dyDescent="0.25">
      <c r="A81" t="s">
        <v>52</v>
      </c>
      <c r="B81" t="s">
        <v>31</v>
      </c>
      <c r="C81" t="str">
        <f t="shared" si="1"/>
        <v>Plynná biopaliva#Průmysl - železo a ocel</v>
      </c>
      <c r="D81" s="8">
        <v>0</v>
      </c>
      <c r="E81" s="8">
        <v>30.000000000499309</v>
      </c>
      <c r="F81" s="8">
        <v>3.9999999989534398</v>
      </c>
    </row>
    <row r="82" spans="1:6" x14ac:dyDescent="0.25">
      <c r="A82" t="s">
        <v>13</v>
      </c>
      <c r="B82" t="s">
        <v>31</v>
      </c>
      <c r="C82" t="str">
        <f t="shared" si="1"/>
        <v>Teplo#Průmysl - železo a ocel</v>
      </c>
      <c r="D82" s="8">
        <v>94.926334508551335</v>
      </c>
      <c r="E82" s="8">
        <v>1.1482742600397113</v>
      </c>
      <c r="F82" s="8">
        <v>1.1201869273631482</v>
      </c>
    </row>
    <row r="83" spans="1:6" x14ac:dyDescent="0.25">
      <c r="A83" t="s">
        <v>53</v>
      </c>
      <c r="B83" t="s">
        <v>31</v>
      </c>
      <c r="C83" t="str">
        <f t="shared" si="1"/>
        <v>Tuhá biopaliva#Průmysl - železo a ocel</v>
      </c>
      <c r="D83" s="8">
        <v>0</v>
      </c>
      <c r="E83" s="8">
        <v>30.000000000499309</v>
      </c>
      <c r="F83" s="8">
        <v>3.9999999989534398</v>
      </c>
    </row>
    <row r="84" spans="1:6" x14ac:dyDescent="0.25">
      <c r="A84" t="s">
        <v>15</v>
      </c>
      <c r="B84" t="s">
        <v>31</v>
      </c>
      <c r="C84" t="str">
        <f t="shared" si="1"/>
        <v>Všechny nositele energie#Průmysl - železo a ocel</v>
      </c>
      <c r="D84" s="8">
        <v>95.689561246641318</v>
      </c>
      <c r="E84" s="8">
        <v>4.3968517109734702</v>
      </c>
      <c r="F84" s="8">
        <v>1.0521231836348994</v>
      </c>
    </row>
    <row r="85" spans="1:6" x14ac:dyDescent="0.25">
      <c r="A85" t="s">
        <v>54</v>
      </c>
      <c r="B85" t="s">
        <v>31</v>
      </c>
      <c r="C85" t="str">
        <f t="shared" si="1"/>
        <v>Zemní plyn#Průmysl - železo a ocel</v>
      </c>
      <c r="D85" s="8">
        <v>55.420243567147288</v>
      </c>
      <c r="E85" s="8">
        <v>0.99999999999987998</v>
      </c>
      <c r="F85" s="8">
        <v>9.999999999999E-2</v>
      </c>
    </row>
    <row r="86" spans="1:6" x14ac:dyDescent="0.25">
      <c r="A86" t="s">
        <v>12</v>
      </c>
      <c r="B86" t="s">
        <v>30</v>
      </c>
      <c r="C86" t="str">
        <f t="shared" si="1"/>
        <v>Elektřina#Průmysl - ostatní</v>
      </c>
      <c r="D86" s="8">
        <v>243.30535699975164</v>
      </c>
      <c r="E86" s="8">
        <v>2.5994178058499644</v>
      </c>
      <c r="F86" s="8">
        <v>3.4119963077868793</v>
      </c>
    </row>
    <row r="87" spans="1:6" x14ac:dyDescent="0.25">
      <c r="A87" t="s">
        <v>14</v>
      </c>
      <c r="B87" t="s">
        <v>30</v>
      </c>
      <c r="C87" t="str">
        <f t="shared" si="1"/>
        <v>Jen paliva#Průmysl - ostatní</v>
      </c>
      <c r="D87" s="8">
        <v>67.64983039657109</v>
      </c>
      <c r="E87" s="8">
        <v>3.0972076187942936</v>
      </c>
      <c r="F87" s="8">
        <v>0.54399042169848999</v>
      </c>
    </row>
    <row r="88" spans="1:6" x14ac:dyDescent="0.25">
      <c r="A88" t="s">
        <v>51</v>
      </c>
      <c r="B88" t="s">
        <v>30</v>
      </c>
      <c r="C88" t="str">
        <f t="shared" si="1"/>
        <v>Kapalná biopaliva#Průmysl - ostatní</v>
      </c>
      <c r="D88" s="8">
        <v>0</v>
      </c>
      <c r="E88" s="8">
        <v>28.774073502895259</v>
      </c>
      <c r="F88" s="8">
        <v>3.8351340228030901</v>
      </c>
    </row>
    <row r="89" spans="1:6" x14ac:dyDescent="0.25">
      <c r="A89" t="s">
        <v>50</v>
      </c>
      <c r="B89" t="s">
        <v>30</v>
      </c>
      <c r="C89" t="str">
        <f t="shared" si="1"/>
        <v>OZE mimo biomasu#Průmysl - ostatní</v>
      </c>
      <c r="D89" s="8">
        <v>0</v>
      </c>
      <c r="E89" s="8">
        <v>0</v>
      </c>
      <c r="F89" s="8">
        <v>0</v>
      </c>
    </row>
    <row r="90" spans="1:6" x14ac:dyDescent="0.25">
      <c r="A90" t="s">
        <v>44</v>
      </c>
      <c r="B90" t="s">
        <v>30</v>
      </c>
      <c r="C90" t="str">
        <f t="shared" si="1"/>
        <v>Paliva a teplo#Průmysl - ostatní</v>
      </c>
      <c r="D90" s="8">
        <v>75.357774016475645</v>
      </c>
      <c r="E90" s="8">
        <v>2.5040155438211982</v>
      </c>
      <c r="F90" s="8">
        <v>0.6934650627740796</v>
      </c>
    </row>
    <row r="91" spans="1:6" x14ac:dyDescent="0.25">
      <c r="A91" t="s">
        <v>52</v>
      </c>
      <c r="B91" t="s">
        <v>30</v>
      </c>
      <c r="C91" t="str">
        <f t="shared" si="1"/>
        <v>Plynná biopaliva#Průmysl - ostatní</v>
      </c>
      <c r="D91" s="8">
        <v>0</v>
      </c>
      <c r="E91" s="8">
        <v>28.774073502895259</v>
      </c>
      <c r="F91" s="8">
        <v>3.8351340228030901</v>
      </c>
    </row>
    <row r="92" spans="1:6" x14ac:dyDescent="0.25">
      <c r="A92" t="s">
        <v>13</v>
      </c>
      <c r="B92" t="s">
        <v>30</v>
      </c>
      <c r="C92" t="str">
        <f t="shared" si="1"/>
        <v>Teplo#Průmysl - ostatní</v>
      </c>
      <c r="D92" s="8">
        <v>94.926334508551335</v>
      </c>
      <c r="E92" s="8">
        <v>1.1482742600397113</v>
      </c>
      <c r="F92" s="8">
        <v>1.1201869273631482</v>
      </c>
    </row>
    <row r="93" spans="1:6" x14ac:dyDescent="0.25">
      <c r="A93" t="s">
        <v>53</v>
      </c>
      <c r="B93" t="s">
        <v>30</v>
      </c>
      <c r="C93" t="str">
        <f t="shared" si="1"/>
        <v>Tuhá biopaliva#Průmysl - ostatní</v>
      </c>
      <c r="D93" s="8">
        <v>0</v>
      </c>
      <c r="E93" s="8">
        <v>28.774073502895259</v>
      </c>
      <c r="F93" s="8">
        <v>3.8351340228030901</v>
      </c>
    </row>
    <row r="94" spans="1:6" x14ac:dyDescent="0.25">
      <c r="A94" t="s">
        <v>15</v>
      </c>
      <c r="B94" t="s">
        <v>30</v>
      </c>
      <c r="C94" t="str">
        <f t="shared" si="1"/>
        <v>Všechny nositele energie#Průmysl - ostatní</v>
      </c>
      <c r="D94" s="8">
        <v>131.77897371366396</v>
      </c>
      <c r="E94" s="8">
        <v>2.5360654845340962</v>
      </c>
      <c r="F94" s="8">
        <v>1.6067428339295406</v>
      </c>
    </row>
    <row r="95" spans="1:6" x14ac:dyDescent="0.25">
      <c r="A95" t="s">
        <v>54</v>
      </c>
      <c r="B95" t="s">
        <v>30</v>
      </c>
      <c r="C95" t="str">
        <f t="shared" si="1"/>
        <v>Zemní plyn#Průmysl - ostatní</v>
      </c>
      <c r="D95" s="8">
        <v>55.420243567147473</v>
      </c>
      <c r="E95" s="8">
        <v>1.00000000000001</v>
      </c>
      <c r="F95" s="8">
        <v>0.10000000000003</v>
      </c>
    </row>
    <row r="96" spans="1:6" x14ac:dyDescent="0.25">
      <c r="A96" t="s">
        <v>12</v>
      </c>
      <c r="B96" t="s">
        <v>28</v>
      </c>
      <c r="C96" t="str">
        <f t="shared" si="1"/>
        <v>Elektřina#Průmysl - těžba a úprava paliv</v>
      </c>
      <c r="D96" s="8">
        <v>243.30535699975164</v>
      </c>
      <c r="E96" s="8">
        <v>2.5994178058499644</v>
      </c>
      <c r="F96" s="8">
        <v>3.4119963077868793</v>
      </c>
    </row>
    <row r="97" spans="1:6" x14ac:dyDescent="0.25">
      <c r="A97" t="s">
        <v>14</v>
      </c>
      <c r="B97" t="s">
        <v>28</v>
      </c>
      <c r="C97" t="str">
        <f t="shared" si="1"/>
        <v>Jen paliva#Průmysl - těžba a úprava paliv</v>
      </c>
      <c r="D97" s="8">
        <v>55.21989926143705</v>
      </c>
      <c r="E97" s="8">
        <v>0.99638499770641764</v>
      </c>
      <c r="F97" s="8">
        <v>9.9638499748913603E-2</v>
      </c>
    </row>
    <row r="98" spans="1:6" x14ac:dyDescent="0.25">
      <c r="A98" t="s">
        <v>51</v>
      </c>
      <c r="B98" t="s">
        <v>28</v>
      </c>
      <c r="C98" t="str">
        <f t="shared" si="1"/>
        <v>Kapalná biopaliva#Průmysl - těžba a úprava paliv</v>
      </c>
      <c r="D98" s="8">
        <v>0</v>
      </c>
      <c r="E98" s="8">
        <v>0</v>
      </c>
      <c r="F98" s="8">
        <v>0</v>
      </c>
    </row>
    <row r="99" spans="1:6" x14ac:dyDescent="0.25">
      <c r="A99" t="s">
        <v>50</v>
      </c>
      <c r="B99" t="s">
        <v>28</v>
      </c>
      <c r="C99" t="str">
        <f t="shared" si="1"/>
        <v>OZE mimo biomasu#Průmysl - těžba a úprava paliv</v>
      </c>
      <c r="D99" s="8">
        <v>0</v>
      </c>
      <c r="E99" s="8">
        <v>0</v>
      </c>
      <c r="F99" s="8">
        <v>0</v>
      </c>
    </row>
    <row r="100" spans="1:6" x14ac:dyDescent="0.25">
      <c r="A100" t="s">
        <v>44</v>
      </c>
      <c r="B100" t="s">
        <v>28</v>
      </c>
      <c r="C100" t="str">
        <f t="shared" si="1"/>
        <v>Paliva a teplo#Průmysl - těžba a úprava paliv</v>
      </c>
      <c r="D100" s="8">
        <v>56.018639388877489</v>
      </c>
      <c r="E100" s="8">
        <v>0.99982258791326117</v>
      </c>
      <c r="F100" s="8">
        <v>0.11944401433528179</v>
      </c>
    </row>
    <row r="101" spans="1:6" x14ac:dyDescent="0.25">
      <c r="A101" t="s">
        <v>52</v>
      </c>
      <c r="B101" t="s">
        <v>28</v>
      </c>
      <c r="C101" t="str">
        <f t="shared" si="1"/>
        <v>Plynná biopaliva#Průmysl - těžba a úprava paliv</v>
      </c>
      <c r="D101" s="8">
        <v>0</v>
      </c>
      <c r="E101" s="8">
        <v>0</v>
      </c>
      <c r="F101" s="8">
        <v>0</v>
      </c>
    </row>
    <row r="102" spans="1:6" x14ac:dyDescent="0.25">
      <c r="A102" t="s">
        <v>13</v>
      </c>
      <c r="B102" t="s">
        <v>28</v>
      </c>
      <c r="C102" t="str">
        <f t="shared" si="1"/>
        <v>Teplo#Průmysl - těžba a úprava paliv</v>
      </c>
      <c r="D102" s="8">
        <v>94.926334508551335</v>
      </c>
      <c r="E102" s="8">
        <v>1.1482742600397113</v>
      </c>
      <c r="F102" s="8">
        <v>1.1201869273631482</v>
      </c>
    </row>
    <row r="103" spans="1:6" x14ac:dyDescent="0.25">
      <c r="A103" t="s">
        <v>53</v>
      </c>
      <c r="B103" t="s">
        <v>28</v>
      </c>
      <c r="C103" t="str">
        <f t="shared" si="1"/>
        <v>Tuhá biopaliva#Průmysl - těžba a úprava paliv</v>
      </c>
      <c r="D103" s="8">
        <v>0</v>
      </c>
      <c r="E103" s="8">
        <v>0</v>
      </c>
      <c r="F103" s="8">
        <v>0</v>
      </c>
    </row>
    <row r="104" spans="1:6" x14ac:dyDescent="0.25">
      <c r="A104" t="s">
        <v>15</v>
      </c>
      <c r="B104" t="s">
        <v>28</v>
      </c>
      <c r="C104" t="str">
        <f t="shared" si="1"/>
        <v>Všechny nositele energie#Průmysl - těžba a úprava paliv</v>
      </c>
      <c r="D104" s="8">
        <v>123.03973117805711</v>
      </c>
      <c r="E104" s="8">
        <v>1.5722423478110874</v>
      </c>
      <c r="F104" s="8">
        <v>1.2976933439998695</v>
      </c>
    </row>
    <row r="105" spans="1:6" x14ac:dyDescent="0.25">
      <c r="A105" t="s">
        <v>54</v>
      </c>
      <c r="B105" t="s">
        <v>28</v>
      </c>
      <c r="C105" t="str">
        <f t="shared" si="1"/>
        <v>Zemní plyn#Průmysl - těžba a úprava paliv</v>
      </c>
      <c r="D105" s="8">
        <v>55.42024356714748</v>
      </c>
      <c r="E105" s="8">
        <v>0.99999999996567002</v>
      </c>
      <c r="F105" s="8">
        <v>9.9999999974760001E-2</v>
      </c>
    </row>
    <row r="106" spans="1:6" x14ac:dyDescent="0.25">
      <c r="A106" t="s">
        <v>12</v>
      </c>
      <c r="B106" t="s">
        <v>32</v>
      </c>
      <c r="C106" t="str">
        <f t="shared" si="1"/>
        <v>Elektřina#Průmysl - papír, celulóza, polygrafie</v>
      </c>
      <c r="D106" s="8">
        <v>243.30535699975164</v>
      </c>
      <c r="E106" s="8">
        <v>2.5994178058499644</v>
      </c>
      <c r="F106" s="8">
        <v>3.4119963077868793</v>
      </c>
    </row>
    <row r="107" spans="1:6" x14ac:dyDescent="0.25">
      <c r="A107" t="s">
        <v>14</v>
      </c>
      <c r="B107" t="s">
        <v>32</v>
      </c>
      <c r="C107" t="str">
        <f t="shared" si="1"/>
        <v>Jen paliva#Průmysl - papír, celulóza, polygrafie</v>
      </c>
      <c r="D107" s="8">
        <v>70.798708644971697</v>
      </c>
      <c r="E107" s="8">
        <v>4.228470345120857</v>
      </c>
      <c r="F107" s="8">
        <v>0.61090414406174454</v>
      </c>
    </row>
    <row r="108" spans="1:6" x14ac:dyDescent="0.25">
      <c r="A108" t="s">
        <v>51</v>
      </c>
      <c r="B108" t="s">
        <v>32</v>
      </c>
      <c r="C108" t="str">
        <f t="shared" si="1"/>
        <v>Kapalná biopaliva#Průmysl - papír, celulóza, polygrafie</v>
      </c>
      <c r="D108" s="8">
        <v>0</v>
      </c>
      <c r="E108" s="8">
        <v>19.708379939099679</v>
      </c>
      <c r="F108" s="8">
        <v>2.6159545435339302</v>
      </c>
    </row>
    <row r="109" spans="1:6" x14ac:dyDescent="0.25">
      <c r="A109" t="s">
        <v>50</v>
      </c>
      <c r="B109" t="s">
        <v>32</v>
      </c>
      <c r="C109" t="str">
        <f t="shared" si="1"/>
        <v>OZE mimo biomasu#Průmysl - papír, celulóza, polygrafie</v>
      </c>
      <c r="D109" s="8">
        <v>0</v>
      </c>
      <c r="E109" s="8">
        <v>0</v>
      </c>
      <c r="F109" s="8">
        <v>0</v>
      </c>
    </row>
    <row r="110" spans="1:6" x14ac:dyDescent="0.25">
      <c r="A110" t="s">
        <v>44</v>
      </c>
      <c r="B110" t="s">
        <v>32</v>
      </c>
      <c r="C110" t="str">
        <f t="shared" si="1"/>
        <v>Paliva a teplo#Průmysl - papír, celulóza, polygrafie</v>
      </c>
      <c r="D110" s="8">
        <v>81.7549834361525</v>
      </c>
      <c r="E110" s="8">
        <v>2.7026254961125824</v>
      </c>
      <c r="F110" s="8">
        <v>0.82046405787437582</v>
      </c>
    </row>
    <row r="111" spans="1:6" x14ac:dyDescent="0.25">
      <c r="A111" t="s">
        <v>52</v>
      </c>
      <c r="B111" t="s">
        <v>32</v>
      </c>
      <c r="C111" t="str">
        <f t="shared" si="1"/>
        <v>Plynná biopaliva#Průmysl - papír, celulóza, polygrafie</v>
      </c>
      <c r="D111" s="8">
        <v>0</v>
      </c>
      <c r="E111" s="8">
        <v>19.708379939099679</v>
      </c>
      <c r="F111" s="8">
        <v>2.6159545435339302</v>
      </c>
    </row>
    <row r="112" spans="1:6" x14ac:dyDescent="0.25">
      <c r="A112" t="s">
        <v>13</v>
      </c>
      <c r="B112" t="s">
        <v>32</v>
      </c>
      <c r="C112" t="str">
        <f t="shared" si="1"/>
        <v>Teplo#Průmysl - papír, celulóza, polygrafie</v>
      </c>
      <c r="D112" s="8">
        <v>94.926334508551335</v>
      </c>
      <c r="E112" s="8">
        <v>1.1482742600397113</v>
      </c>
      <c r="F112" s="8">
        <v>1.1201869273631482</v>
      </c>
    </row>
    <row r="113" spans="1:6" x14ac:dyDescent="0.25">
      <c r="A113" t="s">
        <v>53</v>
      </c>
      <c r="B113" t="s">
        <v>32</v>
      </c>
      <c r="C113" t="str">
        <f t="shared" si="1"/>
        <v>Tuhá biopaliva#Průmysl - papír, celulóza, polygrafie</v>
      </c>
      <c r="D113" s="8">
        <v>0</v>
      </c>
      <c r="E113" s="8">
        <v>19.708379939099679</v>
      </c>
      <c r="F113" s="8">
        <v>2.6159545435339302</v>
      </c>
    </row>
    <row r="114" spans="1:6" x14ac:dyDescent="0.25">
      <c r="A114" t="s">
        <v>15</v>
      </c>
      <c r="B114" t="s">
        <v>32</v>
      </c>
      <c r="C114" t="str">
        <f t="shared" si="1"/>
        <v>Všechny nositele energie#Průmysl - papír, celulóza, polygrafie</v>
      </c>
      <c r="D114" s="8">
        <v>118.20483655171196</v>
      </c>
      <c r="E114" s="8">
        <v>2.6793392290029145</v>
      </c>
      <c r="F114" s="8">
        <v>1.4051793251303735</v>
      </c>
    </row>
    <row r="115" spans="1:6" x14ac:dyDescent="0.25">
      <c r="A115" t="s">
        <v>54</v>
      </c>
      <c r="B115" t="s">
        <v>32</v>
      </c>
      <c r="C115" t="str">
        <f t="shared" si="1"/>
        <v>Zemní plyn#Průmysl - papír, celulóza, polygrafie</v>
      </c>
      <c r="D115" s="8">
        <v>55.420243567147168</v>
      </c>
      <c r="E115" s="8">
        <v>1.0000000000003499</v>
      </c>
      <c r="F115" s="8">
        <v>9.9999999999240002E-2</v>
      </c>
    </row>
    <row r="116" spans="1:6" x14ac:dyDescent="0.25">
      <c r="A116" t="s">
        <v>12</v>
      </c>
      <c r="B116" t="s">
        <v>29</v>
      </c>
      <c r="C116" t="str">
        <f t="shared" ref="C116:C147" si="2">A116 &amp; "#" &amp; B116</f>
        <v>Elektřina#Průmysl - potraviny a tabák</v>
      </c>
      <c r="D116" s="8">
        <v>243.30535699975164</v>
      </c>
      <c r="E116" s="8">
        <v>2.5994178058499644</v>
      </c>
      <c r="F116" s="8">
        <v>3.4119963077868793</v>
      </c>
    </row>
    <row r="117" spans="1:6" x14ac:dyDescent="0.25">
      <c r="A117" t="s">
        <v>14</v>
      </c>
      <c r="B117" t="s">
        <v>29</v>
      </c>
      <c r="C117" t="str">
        <f t="shared" si="2"/>
        <v>Jen paliva#Průmysl - potraviny a tabák</v>
      </c>
      <c r="D117" s="8">
        <v>59.158823759083987</v>
      </c>
      <c r="E117" s="8">
        <v>2.2578825143282999</v>
      </c>
      <c r="F117" s="8">
        <v>0.29669203361665047</v>
      </c>
    </row>
    <row r="118" spans="1:6" x14ac:dyDescent="0.25">
      <c r="A118" t="s">
        <v>51</v>
      </c>
      <c r="B118" t="s">
        <v>29</v>
      </c>
      <c r="C118" t="str">
        <f t="shared" si="2"/>
        <v>Kapalná biopaliva#Průmysl - potraviny a tabák</v>
      </c>
      <c r="D118" s="8">
        <v>0</v>
      </c>
      <c r="E118" s="8">
        <v>2.8841429054721099</v>
      </c>
      <c r="F118" s="8">
        <v>0.35338473556326</v>
      </c>
    </row>
    <row r="119" spans="1:6" x14ac:dyDescent="0.25">
      <c r="A119" t="s">
        <v>50</v>
      </c>
      <c r="B119" t="s">
        <v>29</v>
      </c>
      <c r="C119" t="str">
        <f t="shared" si="2"/>
        <v>OZE mimo biomasu#Průmysl - potraviny a tabák</v>
      </c>
      <c r="D119" s="8">
        <v>0</v>
      </c>
      <c r="E119" s="8">
        <v>0</v>
      </c>
      <c r="F119" s="8">
        <v>0</v>
      </c>
    </row>
    <row r="120" spans="1:6" x14ac:dyDescent="0.25">
      <c r="A120" t="s">
        <v>44</v>
      </c>
      <c r="B120" t="s">
        <v>29</v>
      </c>
      <c r="C120" t="str">
        <f t="shared" si="2"/>
        <v>Paliva a teplo#Průmysl - potraviny a tabák</v>
      </c>
      <c r="D120" s="8">
        <v>68.879075793860409</v>
      </c>
      <c r="E120" s="8">
        <v>1.9405868769366088</v>
      </c>
      <c r="F120" s="8">
        <v>0.50903628119818722</v>
      </c>
    </row>
    <row r="121" spans="1:6" x14ac:dyDescent="0.25">
      <c r="A121" t="s">
        <v>52</v>
      </c>
      <c r="B121" t="s">
        <v>29</v>
      </c>
      <c r="C121" t="str">
        <f t="shared" si="2"/>
        <v>Plynná biopaliva#Průmysl - potraviny a tabák</v>
      </c>
      <c r="D121" s="8">
        <v>0</v>
      </c>
      <c r="E121" s="8">
        <v>2.8841429054721099</v>
      </c>
      <c r="F121" s="8">
        <v>0.35338473556326</v>
      </c>
    </row>
    <row r="122" spans="1:6" x14ac:dyDescent="0.25">
      <c r="A122" t="s">
        <v>13</v>
      </c>
      <c r="B122" t="s">
        <v>29</v>
      </c>
      <c r="C122" t="str">
        <f t="shared" si="2"/>
        <v>Teplo#Průmysl - potraviny a tabák</v>
      </c>
      <c r="D122" s="8">
        <v>94.926334508551335</v>
      </c>
      <c r="E122" s="8">
        <v>1.1482742600397113</v>
      </c>
      <c r="F122" s="8">
        <v>1.1201869273631482</v>
      </c>
    </row>
    <row r="123" spans="1:6" x14ac:dyDescent="0.25">
      <c r="A123" t="s">
        <v>53</v>
      </c>
      <c r="B123" t="s">
        <v>29</v>
      </c>
      <c r="C123" t="str">
        <f t="shared" si="2"/>
        <v>Tuhá biopaliva#Průmysl - potraviny a tabák</v>
      </c>
      <c r="D123" s="8">
        <v>0</v>
      </c>
      <c r="E123" s="8">
        <v>2.8841429054721099</v>
      </c>
      <c r="F123" s="8">
        <v>0.35338473556326</v>
      </c>
    </row>
    <row r="124" spans="1:6" x14ac:dyDescent="0.25">
      <c r="A124" t="s">
        <v>15</v>
      </c>
      <c r="B124" t="s">
        <v>29</v>
      </c>
      <c r="C124" t="str">
        <f t="shared" si="2"/>
        <v>Všechny nositele energie#Průmysl - potraviny a tabák</v>
      </c>
      <c r="D124" s="8">
        <v>104.97512484767448</v>
      </c>
      <c r="E124" s="8">
        <v>2.0769263858902813</v>
      </c>
      <c r="F124" s="8">
        <v>1.1097793962641966</v>
      </c>
    </row>
    <row r="125" spans="1:6" x14ac:dyDescent="0.25">
      <c r="A125" t="s">
        <v>54</v>
      </c>
      <c r="B125" t="s">
        <v>29</v>
      </c>
      <c r="C125" t="str">
        <f t="shared" si="2"/>
        <v>Zemní plyn#Průmysl - potraviny a tabák</v>
      </c>
      <c r="D125" s="8">
        <v>55.420243567147359</v>
      </c>
      <c r="E125" s="8">
        <v>0.99999999999964995</v>
      </c>
      <c r="F125" s="8">
        <v>9.9999999999819997E-2</v>
      </c>
    </row>
    <row r="126" spans="1:6" x14ac:dyDescent="0.25">
      <c r="A126" t="s">
        <v>12</v>
      </c>
      <c r="B126" t="s">
        <v>24</v>
      </c>
      <c r="C126" t="str">
        <f t="shared" si="2"/>
        <v>Elektřina#Doprava - potrubní</v>
      </c>
      <c r="D126" s="8">
        <v>243.30535699975164</v>
      </c>
      <c r="E126" s="8">
        <v>2.5994178058499644</v>
      </c>
      <c r="F126" s="8">
        <v>3.4119963077868793</v>
      </c>
    </row>
    <row r="127" spans="1:6" x14ac:dyDescent="0.25">
      <c r="A127" t="s">
        <v>14</v>
      </c>
      <c r="B127" t="s">
        <v>24</v>
      </c>
      <c r="C127" t="str">
        <f t="shared" si="2"/>
        <v>Jen paliva#Doprava - potrubní</v>
      </c>
      <c r="D127" s="8">
        <v>49.990480118409501</v>
      </c>
      <c r="E127" s="8">
        <v>1</v>
      </c>
      <c r="F127" s="8">
        <v>0.1</v>
      </c>
    </row>
    <row r="128" spans="1:6" x14ac:dyDescent="0.25">
      <c r="A128" t="s">
        <v>51</v>
      </c>
      <c r="B128" t="s">
        <v>24</v>
      </c>
      <c r="C128" t="str">
        <f t="shared" si="2"/>
        <v>Kapalná biopaliva#Doprava - potrubní</v>
      </c>
      <c r="D128" s="8">
        <v>0</v>
      </c>
      <c r="E128" s="8">
        <v>0</v>
      </c>
      <c r="F128" s="8">
        <v>0</v>
      </c>
    </row>
    <row r="129" spans="1:6" x14ac:dyDescent="0.25">
      <c r="A129" t="s">
        <v>50</v>
      </c>
      <c r="B129" t="s">
        <v>24</v>
      </c>
      <c r="C129" t="str">
        <f t="shared" si="2"/>
        <v>OZE mimo biomasu#Doprava - potrubní</v>
      </c>
      <c r="D129" s="8">
        <v>0</v>
      </c>
      <c r="E129" s="8">
        <v>0</v>
      </c>
      <c r="F129" s="8">
        <v>0</v>
      </c>
    </row>
    <row r="130" spans="1:6" x14ac:dyDescent="0.25">
      <c r="A130" t="s">
        <v>44</v>
      </c>
      <c r="B130" t="s">
        <v>24</v>
      </c>
      <c r="C130" t="str">
        <f t="shared" si="2"/>
        <v>Paliva a teplo#Doprava - potrubní</v>
      </c>
      <c r="D130" s="8">
        <v>49.990480118409501</v>
      </c>
      <c r="E130" s="8">
        <v>1</v>
      </c>
      <c r="F130" s="8">
        <v>0.1</v>
      </c>
    </row>
    <row r="131" spans="1:6" x14ac:dyDescent="0.25">
      <c r="A131" t="s">
        <v>52</v>
      </c>
      <c r="B131" t="s">
        <v>24</v>
      </c>
      <c r="C131" t="str">
        <f t="shared" si="2"/>
        <v>Plynná biopaliva#Doprava - potrubní</v>
      </c>
      <c r="D131" s="8">
        <v>0</v>
      </c>
      <c r="E131" s="8">
        <v>0</v>
      </c>
      <c r="F131" s="8">
        <v>0</v>
      </c>
    </row>
    <row r="132" spans="1:6" x14ac:dyDescent="0.25">
      <c r="A132" t="s">
        <v>13</v>
      </c>
      <c r="B132" t="s">
        <v>24</v>
      </c>
      <c r="C132" t="str">
        <f t="shared" si="2"/>
        <v>Teplo#Doprava - potrubní</v>
      </c>
      <c r="D132" s="8">
        <v>94.926334508551335</v>
      </c>
      <c r="E132" s="8">
        <v>1.1482742600397113</v>
      </c>
      <c r="F132" s="8">
        <v>1.1201869273631482</v>
      </c>
    </row>
    <row r="133" spans="1:6" x14ac:dyDescent="0.25">
      <c r="A133" t="s">
        <v>53</v>
      </c>
      <c r="B133" t="s">
        <v>24</v>
      </c>
      <c r="C133" t="str">
        <f t="shared" si="2"/>
        <v>Tuhá biopaliva#Doprava - potrubní</v>
      </c>
      <c r="D133" s="8">
        <v>0</v>
      </c>
      <c r="E133" s="8">
        <v>0</v>
      </c>
      <c r="F133" s="8">
        <v>0</v>
      </c>
    </row>
    <row r="134" spans="1:6" x14ac:dyDescent="0.25">
      <c r="A134" t="s">
        <v>15</v>
      </c>
      <c r="B134" t="s">
        <v>24</v>
      </c>
      <c r="C134" t="str">
        <f t="shared" si="2"/>
        <v>Všechny nositele energie#Doprava - potrubní</v>
      </c>
      <c r="D134" s="8">
        <v>69.552913197055503</v>
      </c>
      <c r="E134" s="8">
        <v>1.1618525397346415</v>
      </c>
      <c r="F134" s="8">
        <v>0.43515633754132865</v>
      </c>
    </row>
    <row r="135" spans="1:6" x14ac:dyDescent="0.25">
      <c r="A135" t="s">
        <v>54</v>
      </c>
      <c r="B135" t="s">
        <v>24</v>
      </c>
      <c r="C135" t="str">
        <f t="shared" si="2"/>
        <v>Zemní plyn#Doprava - potrubní</v>
      </c>
      <c r="D135" s="8">
        <v>49.990480118409501</v>
      </c>
      <c r="E135" s="8">
        <v>1</v>
      </c>
      <c r="F135" s="8">
        <v>0.1</v>
      </c>
    </row>
    <row r="136" spans="1:6" x14ac:dyDescent="0.25">
      <c r="A136" t="s">
        <v>12</v>
      </c>
      <c r="B136" t="s">
        <v>5</v>
      </c>
      <c r="C136" t="str">
        <f t="shared" si="2"/>
        <v>Elektřina#Energetika</v>
      </c>
      <c r="D136" s="8">
        <v>243.30535699975164</v>
      </c>
      <c r="E136" s="8">
        <v>2.5994178058499644</v>
      </c>
      <c r="F136" s="8">
        <v>3.4119963077868793</v>
      </c>
    </row>
    <row r="137" spans="1:6" x14ac:dyDescent="0.25">
      <c r="A137" t="s">
        <v>12</v>
      </c>
      <c r="B137" t="s">
        <v>34</v>
      </c>
      <c r="C137" t="str">
        <f t="shared" si="2"/>
        <v>Elektřina#Energetika - výroba a úprava tuhých paliv</v>
      </c>
      <c r="D137" s="8">
        <v>243.30535699975164</v>
      </c>
      <c r="E137" s="8">
        <v>2.5994178058499644</v>
      </c>
      <c r="F137" s="8">
        <v>3.4119963077868793</v>
      </c>
    </row>
    <row r="138" spans="1:6" x14ac:dyDescent="0.25">
      <c r="A138" t="s">
        <v>12</v>
      </c>
      <c r="B138" t="s">
        <v>4</v>
      </c>
      <c r="C138" t="str">
        <f t="shared" si="2"/>
        <v>Elektřina#Průmysl</v>
      </c>
      <c r="D138" s="8">
        <v>243.30535699975164</v>
      </c>
      <c r="E138" s="8">
        <v>2.5994178058499644</v>
      </c>
      <c r="F138" s="8">
        <v>3.4119963077868793</v>
      </c>
    </row>
    <row r="139" spans="1:6" x14ac:dyDescent="0.25">
      <c r="A139" t="s">
        <v>14</v>
      </c>
      <c r="B139" t="s">
        <v>5</v>
      </c>
      <c r="C139" t="str">
        <f t="shared" si="2"/>
        <v>Jen paliva#Energetika</v>
      </c>
      <c r="D139" s="8">
        <v>59.645934792664249</v>
      </c>
      <c r="E139" s="8">
        <v>5.7349172804341135</v>
      </c>
      <c r="F139" s="8">
        <v>0.7980530955244568</v>
      </c>
    </row>
    <row r="140" spans="1:6" x14ac:dyDescent="0.25">
      <c r="A140" t="s">
        <v>14</v>
      </c>
      <c r="B140" t="s">
        <v>34</v>
      </c>
      <c r="C140" t="str">
        <f t="shared" si="2"/>
        <v>Jen paliva#Energetika - výroba a úprava tuhých paliv</v>
      </c>
      <c r="D140" s="8">
        <v>59.645934792664249</v>
      </c>
      <c r="E140" s="8">
        <v>5.7349172804341135</v>
      </c>
      <c r="F140" s="8">
        <v>0.7980530955244568</v>
      </c>
    </row>
    <row r="141" spans="1:6" x14ac:dyDescent="0.25">
      <c r="A141" t="s">
        <v>14</v>
      </c>
      <c r="B141" t="s">
        <v>4</v>
      </c>
      <c r="C141" t="str">
        <f t="shared" si="2"/>
        <v>Jen paliva#Průmysl</v>
      </c>
      <c r="D141" s="8">
        <v>59.645934792664249</v>
      </c>
      <c r="E141" s="8">
        <v>5.7349172804341135</v>
      </c>
      <c r="F141" s="8">
        <v>0.7980530955244568</v>
      </c>
    </row>
    <row r="142" spans="1:6" x14ac:dyDescent="0.25">
      <c r="A142" t="s">
        <v>51</v>
      </c>
      <c r="B142" t="s">
        <v>5</v>
      </c>
      <c r="C142" t="str">
        <f t="shared" si="2"/>
        <v>Kapalná biopaliva#Energetika</v>
      </c>
      <c r="D142" s="8">
        <v>0</v>
      </c>
      <c r="E142" s="8">
        <v>18.233344054894388</v>
      </c>
      <c r="F142" s="8">
        <v>2.41758764876145</v>
      </c>
    </row>
    <row r="143" spans="1:6" x14ac:dyDescent="0.25">
      <c r="A143" t="s">
        <v>51</v>
      </c>
      <c r="B143" t="s">
        <v>34</v>
      </c>
      <c r="C143" t="str">
        <f t="shared" si="2"/>
        <v>Kapalná biopaliva#Energetika - výroba a úprava tuhých paliv</v>
      </c>
      <c r="D143" s="8">
        <v>0</v>
      </c>
      <c r="E143" s="8">
        <v>18.233344054894388</v>
      </c>
      <c r="F143" s="8">
        <v>2.41758764876145</v>
      </c>
    </row>
    <row r="144" spans="1:6" x14ac:dyDescent="0.25">
      <c r="A144" t="s">
        <v>51</v>
      </c>
      <c r="B144" t="s">
        <v>4</v>
      </c>
      <c r="C144" t="str">
        <f t="shared" si="2"/>
        <v>Kapalná biopaliva#Průmysl</v>
      </c>
      <c r="D144" s="8">
        <v>0</v>
      </c>
      <c r="E144" s="8">
        <v>18.233344054894388</v>
      </c>
      <c r="F144" s="8">
        <v>2.41758764876145</v>
      </c>
    </row>
    <row r="145" spans="1:6" x14ac:dyDescent="0.25">
      <c r="A145" t="s">
        <v>50</v>
      </c>
      <c r="B145" t="s">
        <v>5</v>
      </c>
      <c r="C145" t="str">
        <f t="shared" si="2"/>
        <v>OZE mimo biomasu#Energetika</v>
      </c>
      <c r="D145" s="8">
        <v>0</v>
      </c>
      <c r="E145" s="8">
        <v>0</v>
      </c>
      <c r="F145" s="8">
        <v>0</v>
      </c>
    </row>
    <row r="146" spans="1:6" x14ac:dyDescent="0.25">
      <c r="A146" t="s">
        <v>50</v>
      </c>
      <c r="B146" t="s">
        <v>34</v>
      </c>
      <c r="C146" t="str">
        <f t="shared" si="2"/>
        <v>OZE mimo biomasu#Energetika - výroba a úprava tuhých paliv</v>
      </c>
      <c r="D146" s="8">
        <v>0</v>
      </c>
      <c r="E146" s="8">
        <v>0</v>
      </c>
      <c r="F146" s="8">
        <v>0</v>
      </c>
    </row>
    <row r="147" spans="1:6" x14ac:dyDescent="0.25">
      <c r="A147" t="s">
        <v>50</v>
      </c>
      <c r="B147" t="s">
        <v>4</v>
      </c>
      <c r="C147" t="str">
        <f t="shared" si="2"/>
        <v>OZE mimo biomasu#Průmysl</v>
      </c>
      <c r="D147" s="8">
        <v>0</v>
      </c>
      <c r="E147" s="8">
        <v>0</v>
      </c>
      <c r="F147" s="8">
        <v>0</v>
      </c>
    </row>
    <row r="148" spans="1:6" x14ac:dyDescent="0.25">
      <c r="A148" t="s">
        <v>44</v>
      </c>
      <c r="B148" t="s">
        <v>5</v>
      </c>
      <c r="C148" t="str">
        <f t="shared" ref="C148:C179" si="3">A148 &amp; "#" &amp; B148</f>
        <v>Paliva a teplo#Energetika</v>
      </c>
      <c r="D148" s="8">
        <v>66.299393644765985</v>
      </c>
      <c r="E148" s="8">
        <v>4.8176839248101775</v>
      </c>
      <c r="F148" s="8">
        <v>0.84505259321337012</v>
      </c>
    </row>
    <row r="149" spans="1:6" x14ac:dyDescent="0.25">
      <c r="A149" t="s">
        <v>44</v>
      </c>
      <c r="B149" t="s">
        <v>34</v>
      </c>
      <c r="C149" t="str">
        <f t="shared" si="3"/>
        <v>Paliva a teplo#Energetika - výroba a úprava tuhých paliv</v>
      </c>
      <c r="D149" s="8">
        <v>66.299393644765985</v>
      </c>
      <c r="E149" s="8">
        <v>4.8176839248101775</v>
      </c>
      <c r="F149" s="8">
        <v>0.84505259321337012</v>
      </c>
    </row>
    <row r="150" spans="1:6" x14ac:dyDescent="0.25">
      <c r="A150" t="s">
        <v>44</v>
      </c>
      <c r="B150" t="s">
        <v>4</v>
      </c>
      <c r="C150" t="str">
        <f t="shared" si="3"/>
        <v>Paliva a teplo#Průmysl</v>
      </c>
      <c r="D150" s="8">
        <v>66.299393644765985</v>
      </c>
      <c r="E150" s="8">
        <v>4.8176839248101775</v>
      </c>
      <c r="F150" s="8">
        <v>0.84505259321337012</v>
      </c>
    </row>
    <row r="151" spans="1:6" x14ac:dyDescent="0.25">
      <c r="A151" t="s">
        <v>52</v>
      </c>
      <c r="B151" t="s">
        <v>5</v>
      </c>
      <c r="C151" t="str">
        <f t="shared" si="3"/>
        <v>Plynná biopaliva#Energetika</v>
      </c>
      <c r="D151" s="8">
        <v>0</v>
      </c>
      <c r="E151" s="8">
        <v>18.233344054894388</v>
      </c>
      <c r="F151" s="8">
        <v>2.41758764876145</v>
      </c>
    </row>
    <row r="152" spans="1:6" x14ac:dyDescent="0.25">
      <c r="A152" t="s">
        <v>52</v>
      </c>
      <c r="B152" t="s">
        <v>34</v>
      </c>
      <c r="C152" t="str">
        <f t="shared" si="3"/>
        <v>Plynná biopaliva#Energetika - výroba a úprava tuhých paliv</v>
      </c>
      <c r="D152" s="8">
        <v>0</v>
      </c>
      <c r="E152" s="8">
        <v>18.233344054894388</v>
      </c>
      <c r="F152" s="8">
        <v>2.41758764876145</v>
      </c>
    </row>
    <row r="153" spans="1:6" x14ac:dyDescent="0.25">
      <c r="A153" t="s">
        <v>52</v>
      </c>
      <c r="B153" t="s">
        <v>4</v>
      </c>
      <c r="C153" t="str">
        <f t="shared" si="3"/>
        <v>Plynná biopaliva#Průmysl</v>
      </c>
      <c r="D153" s="8">
        <v>0</v>
      </c>
      <c r="E153" s="8">
        <v>18.233344054894388</v>
      </c>
      <c r="F153" s="8">
        <v>2.41758764876145</v>
      </c>
    </row>
    <row r="154" spans="1:6" x14ac:dyDescent="0.25">
      <c r="A154" t="s">
        <v>13</v>
      </c>
      <c r="B154" t="s">
        <v>5</v>
      </c>
      <c r="C154" t="str">
        <f t="shared" si="3"/>
        <v>Teplo#Energetika</v>
      </c>
      <c r="D154" s="8">
        <v>94.926334508551335</v>
      </c>
      <c r="E154" s="8">
        <v>1.1482742600397113</v>
      </c>
      <c r="F154" s="8">
        <v>1.1201869273631482</v>
      </c>
    </row>
    <row r="155" spans="1:6" x14ac:dyDescent="0.25">
      <c r="A155" t="s">
        <v>13</v>
      </c>
      <c r="B155" t="s">
        <v>34</v>
      </c>
      <c r="C155" t="str">
        <f t="shared" si="3"/>
        <v>Teplo#Energetika - výroba a úprava tuhých paliv</v>
      </c>
      <c r="D155" s="8">
        <v>94.926334508551335</v>
      </c>
      <c r="E155" s="8">
        <v>1.1482742600397113</v>
      </c>
      <c r="F155" s="8">
        <v>1.1201869273631482</v>
      </c>
    </row>
    <row r="156" spans="1:6" x14ac:dyDescent="0.25">
      <c r="A156" t="s">
        <v>13</v>
      </c>
      <c r="B156" t="s">
        <v>4</v>
      </c>
      <c r="C156" t="str">
        <f t="shared" si="3"/>
        <v>Teplo#Průmysl</v>
      </c>
      <c r="D156" s="8">
        <v>94.926334508551335</v>
      </c>
      <c r="E156" s="8">
        <v>1.1482742600397113</v>
      </c>
      <c r="F156" s="8">
        <v>1.1201869273631482</v>
      </c>
    </row>
    <row r="157" spans="1:6" x14ac:dyDescent="0.25">
      <c r="A157" t="s">
        <v>53</v>
      </c>
      <c r="B157" t="s">
        <v>5</v>
      </c>
      <c r="C157" t="str">
        <f t="shared" si="3"/>
        <v>Tuhá biopaliva#Energetika</v>
      </c>
      <c r="D157" s="8">
        <v>0</v>
      </c>
      <c r="E157" s="8">
        <v>18.233344054894388</v>
      </c>
      <c r="F157" s="8">
        <v>2.41758764876145</v>
      </c>
    </row>
    <row r="158" spans="1:6" x14ac:dyDescent="0.25">
      <c r="A158" t="s">
        <v>53</v>
      </c>
      <c r="B158" t="s">
        <v>34</v>
      </c>
      <c r="C158" t="str">
        <f t="shared" si="3"/>
        <v>Tuhá biopaliva#Energetika - výroba a úprava tuhých paliv</v>
      </c>
      <c r="D158" s="8">
        <v>0</v>
      </c>
      <c r="E158" s="8">
        <v>18.233344054894388</v>
      </c>
      <c r="F158" s="8">
        <v>2.41758764876145</v>
      </c>
    </row>
    <row r="159" spans="1:6" x14ac:dyDescent="0.25">
      <c r="A159" t="s">
        <v>53</v>
      </c>
      <c r="B159" t="s">
        <v>4</v>
      </c>
      <c r="C159" t="str">
        <f t="shared" si="3"/>
        <v>Tuhá biopaliva#Průmysl</v>
      </c>
      <c r="D159" s="8">
        <v>0</v>
      </c>
      <c r="E159" s="8">
        <v>18.233344054894388</v>
      </c>
      <c r="F159" s="8">
        <v>2.41758764876145</v>
      </c>
    </row>
    <row r="160" spans="1:6" x14ac:dyDescent="0.25">
      <c r="A160" t="s">
        <v>15</v>
      </c>
      <c r="B160" t="s">
        <v>5</v>
      </c>
      <c r="C160" t="str">
        <f t="shared" si="3"/>
        <v>Všechny nositele energie#Energetika</v>
      </c>
      <c r="D160" s="8">
        <v>109.55064360799655</v>
      </c>
      <c r="E160" s="8">
        <v>4.2756525684784119</v>
      </c>
      <c r="F160" s="8">
        <v>1.4722830104050479</v>
      </c>
    </row>
    <row r="161" spans="1:6" x14ac:dyDescent="0.25">
      <c r="A161" t="s">
        <v>15</v>
      </c>
      <c r="B161" t="s">
        <v>34</v>
      </c>
      <c r="C161" t="str">
        <f t="shared" si="3"/>
        <v>Všechny nositele energie#Energetika - výroba a úprava tuhých paliv</v>
      </c>
      <c r="D161" s="8">
        <v>109.55064360799655</v>
      </c>
      <c r="E161" s="8">
        <v>4.2756525684784119</v>
      </c>
      <c r="F161" s="8">
        <v>1.4722830104050479</v>
      </c>
    </row>
    <row r="162" spans="1:6" x14ac:dyDescent="0.25">
      <c r="A162" t="s">
        <v>15</v>
      </c>
      <c r="B162" t="s">
        <v>4</v>
      </c>
      <c r="C162" t="str">
        <f t="shared" si="3"/>
        <v>Všechny nositele energie#Průmysl</v>
      </c>
      <c r="D162" s="8">
        <v>109.55064360799655</v>
      </c>
      <c r="E162" s="8">
        <v>4.2756525684784119</v>
      </c>
      <c r="F162" s="8">
        <v>1.4722830104050479</v>
      </c>
    </row>
    <row r="163" spans="1:6" x14ac:dyDescent="0.25">
      <c r="A163" t="s">
        <v>54</v>
      </c>
      <c r="B163" t="s">
        <v>5</v>
      </c>
      <c r="C163" t="str">
        <f t="shared" si="3"/>
        <v>Zemní plyn#Energetika</v>
      </c>
      <c r="D163" s="8">
        <v>55.420243567147338</v>
      </c>
      <c r="E163" s="8">
        <v>0.99999999999995004</v>
      </c>
      <c r="F163" s="8">
        <v>9.9999999999950004E-2</v>
      </c>
    </row>
    <row r="164" spans="1:6" x14ac:dyDescent="0.25">
      <c r="A164" t="s">
        <v>54</v>
      </c>
      <c r="B164" t="s">
        <v>34</v>
      </c>
      <c r="C164" t="str">
        <f t="shared" si="3"/>
        <v>Zemní plyn#Energetika - výroba a úprava tuhých paliv</v>
      </c>
      <c r="D164" s="8">
        <v>55.420243567147338</v>
      </c>
      <c r="E164" s="8">
        <v>0.99999999999995004</v>
      </c>
      <c r="F164" s="8">
        <v>9.9999999999950004E-2</v>
      </c>
    </row>
    <row r="165" spans="1:6" x14ac:dyDescent="0.25">
      <c r="A165" t="s">
        <v>54</v>
      </c>
      <c r="B165" t="s">
        <v>4</v>
      </c>
      <c r="C165" t="str">
        <f t="shared" si="3"/>
        <v>Zemní plyn#Průmysl</v>
      </c>
      <c r="D165" s="8">
        <v>55.420243567147338</v>
      </c>
      <c r="E165" s="8">
        <v>0.99999999999995004</v>
      </c>
      <c r="F165" s="8">
        <v>9.9999999999950004E-2</v>
      </c>
    </row>
    <row r="166" spans="1:6" x14ac:dyDescent="0.25">
      <c r="A166" t="s">
        <v>12</v>
      </c>
      <c r="B166" t="s">
        <v>33</v>
      </c>
      <c r="C166" t="str">
        <f t="shared" si="3"/>
        <v>Elektřina#Energetika - rafinérie</v>
      </c>
      <c r="D166" s="8">
        <v>243.30535699975164</v>
      </c>
      <c r="E166" s="8">
        <v>2.5994178058499644</v>
      </c>
      <c r="F166" s="8">
        <v>3.4119963077868793</v>
      </c>
    </row>
    <row r="167" spans="1:6" x14ac:dyDescent="0.25">
      <c r="A167" t="s">
        <v>14</v>
      </c>
      <c r="B167" t="s">
        <v>33</v>
      </c>
      <c r="C167" t="str">
        <f t="shared" si="3"/>
        <v>Jen paliva#Energetika - rafinérie</v>
      </c>
      <c r="D167" s="8">
        <v>59.823209649732533</v>
      </c>
      <c r="E167" s="8">
        <v>1.5104772328746099</v>
      </c>
      <c r="F167" s="8">
        <v>0.22761930821843734</v>
      </c>
    </row>
    <row r="168" spans="1:6" x14ac:dyDescent="0.25">
      <c r="A168" t="s">
        <v>51</v>
      </c>
      <c r="B168" t="s">
        <v>33</v>
      </c>
      <c r="C168" t="str">
        <f t="shared" si="3"/>
        <v>Kapalná biopaliva#Energetika - rafinérie</v>
      </c>
      <c r="D168" s="8">
        <v>0</v>
      </c>
      <c r="E168" s="8">
        <v>0</v>
      </c>
      <c r="F168" s="8">
        <v>0</v>
      </c>
    </row>
    <row r="169" spans="1:6" x14ac:dyDescent="0.25">
      <c r="A169" t="s">
        <v>50</v>
      </c>
      <c r="B169" t="s">
        <v>33</v>
      </c>
      <c r="C169" t="str">
        <f t="shared" si="3"/>
        <v>OZE mimo biomasu#Energetika - rafinérie</v>
      </c>
      <c r="D169" s="8">
        <v>0</v>
      </c>
      <c r="E169" s="8">
        <v>0</v>
      </c>
      <c r="F169" s="8">
        <v>0</v>
      </c>
    </row>
    <row r="170" spans="1:6" x14ac:dyDescent="0.25">
      <c r="A170" t="s">
        <v>44</v>
      </c>
      <c r="B170" t="s">
        <v>33</v>
      </c>
      <c r="C170" t="str">
        <f t="shared" si="3"/>
        <v>Paliva a teplo#Energetika - rafinérie</v>
      </c>
      <c r="D170" s="8">
        <v>68.880826204758321</v>
      </c>
      <c r="E170" s="8">
        <v>1.4138772351244431</v>
      </c>
      <c r="F170" s="8">
        <v>0.44841583710390598</v>
      </c>
    </row>
    <row r="171" spans="1:6" x14ac:dyDescent="0.25">
      <c r="A171" t="s">
        <v>52</v>
      </c>
      <c r="B171" t="s">
        <v>33</v>
      </c>
      <c r="C171" t="str">
        <f t="shared" si="3"/>
        <v>Plynná biopaliva#Energetika - rafinérie</v>
      </c>
      <c r="D171" s="8">
        <v>0</v>
      </c>
      <c r="E171" s="8">
        <v>0</v>
      </c>
      <c r="F171" s="8">
        <v>0</v>
      </c>
    </row>
    <row r="172" spans="1:6" x14ac:dyDescent="0.25">
      <c r="A172" t="s">
        <v>13</v>
      </c>
      <c r="B172" t="s">
        <v>33</v>
      </c>
      <c r="C172" t="str">
        <f t="shared" si="3"/>
        <v>Teplo#Energetika - rafinérie</v>
      </c>
      <c r="D172" s="8">
        <v>94.926334508551335</v>
      </c>
      <c r="E172" s="8">
        <v>1.1482742600397113</v>
      </c>
      <c r="F172" s="8">
        <v>1.1201869273631482</v>
      </c>
    </row>
    <row r="173" spans="1:6" x14ac:dyDescent="0.25">
      <c r="A173" t="s">
        <v>53</v>
      </c>
      <c r="B173" t="s">
        <v>33</v>
      </c>
      <c r="C173" t="str">
        <f t="shared" si="3"/>
        <v>Tuhá biopaliva#Energetika - rafinérie</v>
      </c>
      <c r="D173" s="8">
        <v>0</v>
      </c>
      <c r="E173" s="8">
        <v>0</v>
      </c>
      <c r="F173" s="8">
        <v>0</v>
      </c>
    </row>
    <row r="174" spans="1:6" x14ac:dyDescent="0.25">
      <c r="A174" t="s">
        <v>15</v>
      </c>
      <c r="B174" t="s">
        <v>33</v>
      </c>
      <c r="C174" t="str">
        <f t="shared" si="3"/>
        <v>Všechny nositele energie#Energetika - rafinérie</v>
      </c>
      <c r="D174" s="8">
        <v>79.760303477142813</v>
      </c>
      <c r="E174" s="8">
        <v>1.4878236097307622</v>
      </c>
      <c r="F174" s="8">
        <v>0.63326487312380619</v>
      </c>
    </row>
    <row r="175" spans="1:6" x14ac:dyDescent="0.25">
      <c r="A175" t="s">
        <v>54</v>
      </c>
      <c r="B175" t="s">
        <v>33</v>
      </c>
      <c r="C175" t="str">
        <f t="shared" si="3"/>
        <v>Zemní plyn#Energetika - rafinérie</v>
      </c>
      <c r="D175" s="8">
        <v>55.420243567147338</v>
      </c>
      <c r="E175" s="8">
        <v>1</v>
      </c>
      <c r="F175" s="8">
        <v>9.9999999999220004E-2</v>
      </c>
    </row>
    <row r="176" spans="1:6" x14ac:dyDescent="0.25">
      <c r="A176" t="s">
        <v>12</v>
      </c>
      <c r="B176" t="s">
        <v>21</v>
      </c>
      <c r="C176" t="str">
        <f t="shared" si="3"/>
        <v>Elektřina#Doprava - silniční</v>
      </c>
      <c r="D176" s="8">
        <v>243.30535699975164</v>
      </c>
      <c r="E176" s="8">
        <v>2.5994178058499644</v>
      </c>
      <c r="F176" s="8">
        <v>3.4119963077868793</v>
      </c>
    </row>
    <row r="177" spans="1:6" x14ac:dyDescent="0.25">
      <c r="A177" t="s">
        <v>14</v>
      </c>
      <c r="B177" t="s">
        <v>21</v>
      </c>
      <c r="C177" t="str">
        <f t="shared" si="3"/>
        <v>Jen paliva#Doprava - silniční</v>
      </c>
      <c r="D177" s="8">
        <v>68.835345172943576</v>
      </c>
      <c r="E177" s="8">
        <v>4.0750310155280847</v>
      </c>
      <c r="F177" s="8">
        <v>4.7294917437499038</v>
      </c>
    </row>
    <row r="178" spans="1:6" x14ac:dyDescent="0.25">
      <c r="A178" t="s">
        <v>51</v>
      </c>
      <c r="B178" t="s">
        <v>21</v>
      </c>
      <c r="C178" t="str">
        <f t="shared" si="3"/>
        <v>Kapalná biopaliva#Doprava - silniční</v>
      </c>
      <c r="D178" s="8">
        <v>0</v>
      </c>
      <c r="E178" s="8">
        <v>1.9154180763653901</v>
      </c>
      <c r="F178" s="8">
        <v>0.6</v>
      </c>
    </row>
    <row r="179" spans="1:6" x14ac:dyDescent="0.25">
      <c r="A179" t="s">
        <v>50</v>
      </c>
      <c r="B179" t="s">
        <v>21</v>
      </c>
      <c r="C179" t="str">
        <f t="shared" si="3"/>
        <v>OZE mimo biomasu#Doprava - silniční</v>
      </c>
      <c r="D179" s="8">
        <v>0</v>
      </c>
      <c r="E179" s="8">
        <v>0</v>
      </c>
      <c r="F179" s="8">
        <v>0</v>
      </c>
    </row>
    <row r="180" spans="1:6" x14ac:dyDescent="0.25">
      <c r="A180" t="s">
        <v>44</v>
      </c>
      <c r="B180" t="s">
        <v>21</v>
      </c>
      <c r="C180" t="str">
        <f t="shared" ref="C180:C181" si="4">A180 &amp; "#" &amp; B180</f>
        <v>Paliva a teplo#Doprava - silniční</v>
      </c>
      <c r="D180" s="8">
        <v>68.835345172943576</v>
      </c>
      <c r="E180" s="8">
        <v>4.0750310155280847</v>
      </c>
      <c r="F180" s="8">
        <v>4.7294917437499038</v>
      </c>
    </row>
    <row r="181" spans="1:6" x14ac:dyDescent="0.25">
      <c r="A181" t="s">
        <v>52</v>
      </c>
      <c r="B181" t="s">
        <v>21</v>
      </c>
      <c r="C181" t="str">
        <f t="shared" si="4"/>
        <v>Plynná biopaliva#Doprava - silniční</v>
      </c>
      <c r="D181" s="8">
        <v>0</v>
      </c>
      <c r="E181" s="8">
        <v>1.9154180763653901</v>
      </c>
      <c r="F181" s="8">
        <v>0.6</v>
      </c>
    </row>
    <row r="182" spans="1:6" x14ac:dyDescent="0.25">
      <c r="A182" t="s">
        <v>13</v>
      </c>
      <c r="B182" t="s">
        <v>21</v>
      </c>
      <c r="C182" t="str">
        <f t="shared" ref="C182:C225" si="5">A182 &amp; "#" &amp; B182</f>
        <v>Teplo#Doprava - silniční</v>
      </c>
      <c r="D182" s="8">
        <v>94.926334508551335</v>
      </c>
      <c r="E182" s="8">
        <v>1.1482742600397113</v>
      </c>
      <c r="F182" s="8">
        <v>1.1201869273631482</v>
      </c>
    </row>
    <row r="183" spans="1:6" x14ac:dyDescent="0.25">
      <c r="A183" t="s">
        <v>53</v>
      </c>
      <c r="B183" t="s">
        <v>21</v>
      </c>
      <c r="C183" t="str">
        <f t="shared" si="5"/>
        <v>Tuhá biopaliva#Doprava - silniční</v>
      </c>
      <c r="D183" s="8">
        <v>0</v>
      </c>
      <c r="E183" s="8">
        <v>1.9154180763653901</v>
      </c>
      <c r="F183" s="8">
        <v>0.6</v>
      </c>
    </row>
    <row r="184" spans="1:6" x14ac:dyDescent="0.25">
      <c r="A184" t="s">
        <v>15</v>
      </c>
      <c r="B184" t="s">
        <v>21</v>
      </c>
      <c r="C184" t="str">
        <f t="shared" si="5"/>
        <v>Všechny nositele energie#Doprava - silniční</v>
      </c>
      <c r="D184" s="8">
        <v>69.003374983380439</v>
      </c>
      <c r="E184" s="8">
        <v>4.0736098715429137</v>
      </c>
      <c r="F184" s="8">
        <v>4.7282228809462712</v>
      </c>
    </row>
    <row r="185" spans="1:6" x14ac:dyDescent="0.25">
      <c r="A185" t="s">
        <v>54</v>
      </c>
      <c r="B185" t="s">
        <v>21</v>
      </c>
      <c r="C185" t="str">
        <f t="shared" si="5"/>
        <v>Zemní plyn#Doprava - silniční</v>
      </c>
      <c r="D185" s="8">
        <v>54.702169185061479</v>
      </c>
      <c r="E185" s="8">
        <v>92.000000000000185</v>
      </c>
      <c r="F185" s="8">
        <v>3.0000000000000102</v>
      </c>
    </row>
    <row r="186" spans="1:6" x14ac:dyDescent="0.25">
      <c r="A186" t="s">
        <v>12</v>
      </c>
      <c r="B186" t="s">
        <v>6</v>
      </c>
      <c r="C186" t="str">
        <f t="shared" si="5"/>
        <v>Elektřina#Služby</v>
      </c>
      <c r="D186" s="8">
        <v>243.30535699975164</v>
      </c>
      <c r="E186" s="8">
        <v>2.5994178058499644</v>
      </c>
      <c r="F186" s="8">
        <v>3.4119963077868793</v>
      </c>
    </row>
    <row r="187" spans="1:6" x14ac:dyDescent="0.25">
      <c r="A187" t="s">
        <v>12</v>
      </c>
      <c r="B187" t="s">
        <v>8</v>
      </c>
      <c r="C187" t="str">
        <f t="shared" si="5"/>
        <v>Elektřina#Veřejná správa</v>
      </c>
      <c r="D187" s="8">
        <v>243.30535699975164</v>
      </c>
      <c r="E187" s="8">
        <v>2.5994178058499644</v>
      </c>
      <c r="F187" s="8">
        <v>3.4119963077868793</v>
      </c>
    </row>
    <row r="188" spans="1:6" x14ac:dyDescent="0.25">
      <c r="A188" t="s">
        <v>14</v>
      </c>
      <c r="B188" t="s">
        <v>6</v>
      </c>
      <c r="C188" t="str">
        <f t="shared" si="5"/>
        <v>Jen paliva#Služby</v>
      </c>
      <c r="D188" s="8">
        <v>52.179368422256722</v>
      </c>
      <c r="E188" s="8">
        <v>15.706943291820812</v>
      </c>
      <c r="F188" s="8">
        <v>0.27542020867438716</v>
      </c>
    </row>
    <row r="189" spans="1:6" x14ac:dyDescent="0.25">
      <c r="A189" t="s">
        <v>14</v>
      </c>
      <c r="B189" t="s">
        <v>8</v>
      </c>
      <c r="C189" t="str">
        <f t="shared" si="5"/>
        <v>Jen paliva#Veřejná správa</v>
      </c>
      <c r="D189" s="8">
        <v>52.179368422256722</v>
      </c>
      <c r="E189" s="8">
        <v>15.706943291820812</v>
      </c>
      <c r="F189" s="8">
        <v>0.27542020867438716</v>
      </c>
    </row>
    <row r="190" spans="1:6" x14ac:dyDescent="0.25">
      <c r="A190" t="s">
        <v>51</v>
      </c>
      <c r="B190" t="s">
        <v>6</v>
      </c>
      <c r="C190" t="str">
        <f t="shared" si="5"/>
        <v>Kapalná biopaliva#Služby</v>
      </c>
      <c r="D190" s="8">
        <v>0</v>
      </c>
      <c r="E190" s="8">
        <v>134.08698539176626</v>
      </c>
      <c r="F190" s="8">
        <v>1.8065737051792801</v>
      </c>
    </row>
    <row r="191" spans="1:6" x14ac:dyDescent="0.25">
      <c r="A191" t="s">
        <v>51</v>
      </c>
      <c r="B191" t="s">
        <v>8</v>
      </c>
      <c r="C191" t="str">
        <f t="shared" si="5"/>
        <v>Kapalná biopaliva#Veřejná správa</v>
      </c>
      <c r="D191" s="8">
        <v>0</v>
      </c>
      <c r="E191" s="8">
        <v>134.08698539176626</v>
      </c>
      <c r="F191" s="8">
        <v>1.8065737051792801</v>
      </c>
    </row>
    <row r="192" spans="1:6" x14ac:dyDescent="0.25">
      <c r="A192" t="s">
        <v>50</v>
      </c>
      <c r="B192" t="s">
        <v>6</v>
      </c>
      <c r="C192" t="str">
        <f t="shared" si="5"/>
        <v>OZE mimo biomasu#Služby</v>
      </c>
      <c r="D192" s="8">
        <v>0</v>
      </c>
      <c r="E192" s="8">
        <v>0</v>
      </c>
      <c r="F192" s="8">
        <v>0</v>
      </c>
    </row>
    <row r="193" spans="1:6" x14ac:dyDescent="0.25">
      <c r="A193" t="s">
        <v>50</v>
      </c>
      <c r="B193" t="s">
        <v>8</v>
      </c>
      <c r="C193" t="str">
        <f t="shared" si="5"/>
        <v>OZE mimo biomasu#Veřejná správa</v>
      </c>
      <c r="D193" s="8">
        <v>0</v>
      </c>
      <c r="E193" s="8">
        <v>0</v>
      </c>
      <c r="F193" s="8">
        <v>0</v>
      </c>
    </row>
    <row r="194" spans="1:6" x14ac:dyDescent="0.25">
      <c r="A194" t="s">
        <v>44</v>
      </c>
      <c r="B194" t="s">
        <v>6</v>
      </c>
      <c r="C194" t="str">
        <f t="shared" si="5"/>
        <v>Paliva a teplo#Služby</v>
      </c>
      <c r="D194" s="8">
        <v>76.331121550828726</v>
      </c>
      <c r="E194" s="8">
        <v>7.4813915736861789</v>
      </c>
      <c r="F194" s="8">
        <v>0.75270781780710172</v>
      </c>
    </row>
    <row r="195" spans="1:6" x14ac:dyDescent="0.25">
      <c r="A195" t="s">
        <v>44</v>
      </c>
      <c r="B195" t="s">
        <v>8</v>
      </c>
      <c r="C195" t="str">
        <f t="shared" si="5"/>
        <v>Paliva a teplo#Veřejná správa</v>
      </c>
      <c r="D195" s="8">
        <v>76.331121550828726</v>
      </c>
      <c r="E195" s="8">
        <v>7.4813915736861789</v>
      </c>
      <c r="F195" s="8">
        <v>0.75270781780710172</v>
      </c>
    </row>
    <row r="196" spans="1:6" x14ac:dyDescent="0.25">
      <c r="A196" t="s">
        <v>52</v>
      </c>
      <c r="B196" t="s">
        <v>6</v>
      </c>
      <c r="C196" t="str">
        <f t="shared" si="5"/>
        <v>Plynná biopaliva#Služby</v>
      </c>
      <c r="D196" s="8">
        <v>0</v>
      </c>
      <c r="E196" s="8">
        <v>134.08698539176626</v>
      </c>
      <c r="F196" s="8">
        <v>1.8065737051792801</v>
      </c>
    </row>
    <row r="197" spans="1:6" x14ac:dyDescent="0.25">
      <c r="A197" t="s">
        <v>52</v>
      </c>
      <c r="B197" t="s">
        <v>8</v>
      </c>
      <c r="C197" t="str">
        <f t="shared" si="5"/>
        <v>Plynná biopaliva#Veřejná správa</v>
      </c>
      <c r="D197" s="8">
        <v>0</v>
      </c>
      <c r="E197" s="8">
        <v>134.08698539176626</v>
      </c>
      <c r="F197" s="8">
        <v>1.8065737051792801</v>
      </c>
    </row>
    <row r="198" spans="1:6" x14ac:dyDescent="0.25">
      <c r="A198" t="s">
        <v>13</v>
      </c>
      <c r="B198" t="s">
        <v>6</v>
      </c>
      <c r="C198" t="str">
        <f t="shared" si="5"/>
        <v>Teplo#Služby</v>
      </c>
      <c r="D198" s="8">
        <v>94.926334508551335</v>
      </c>
      <c r="E198" s="8">
        <v>1.1482742600397113</v>
      </c>
      <c r="F198" s="8">
        <v>1.1201869273631482</v>
      </c>
    </row>
    <row r="199" spans="1:6" x14ac:dyDescent="0.25">
      <c r="A199" t="s">
        <v>13</v>
      </c>
      <c r="B199" t="s">
        <v>8</v>
      </c>
      <c r="C199" t="str">
        <f t="shared" si="5"/>
        <v>Teplo#Veřejná správa</v>
      </c>
      <c r="D199" s="8">
        <v>94.926334508551335</v>
      </c>
      <c r="E199" s="8">
        <v>1.1482742600397113</v>
      </c>
      <c r="F199" s="8">
        <v>1.1201869273631482</v>
      </c>
    </row>
    <row r="200" spans="1:6" x14ac:dyDescent="0.25">
      <c r="A200" t="s">
        <v>53</v>
      </c>
      <c r="B200" t="s">
        <v>6</v>
      </c>
      <c r="C200" t="str">
        <f t="shared" si="5"/>
        <v>Tuhá biopaliva#Služby</v>
      </c>
      <c r="D200" s="8">
        <v>0</v>
      </c>
      <c r="E200" s="8">
        <v>134.08698539176626</v>
      </c>
      <c r="F200" s="8">
        <v>1.8065737051792801</v>
      </c>
    </row>
    <row r="201" spans="1:6" x14ac:dyDescent="0.25">
      <c r="A201" t="s">
        <v>53</v>
      </c>
      <c r="B201" t="s">
        <v>8</v>
      </c>
      <c r="C201" t="str">
        <f t="shared" si="5"/>
        <v>Tuhá biopaliva#Veřejná správa</v>
      </c>
      <c r="D201" s="8">
        <v>0</v>
      </c>
      <c r="E201" s="8">
        <v>134.08698539176626</v>
      </c>
      <c r="F201" s="8">
        <v>1.8065737051792801</v>
      </c>
    </row>
    <row r="202" spans="1:6" x14ac:dyDescent="0.25">
      <c r="A202" t="s">
        <v>15</v>
      </c>
      <c r="B202" t="s">
        <v>6</v>
      </c>
      <c r="C202" t="str">
        <f t="shared" si="5"/>
        <v>Všechny nositele energie#Služby</v>
      </c>
      <c r="D202" s="8">
        <v>131.50852623417009</v>
      </c>
      <c r="E202" s="8">
        <v>5.8583371312416705</v>
      </c>
      <c r="F202" s="8">
        <v>1.6319482720296803</v>
      </c>
    </row>
    <row r="203" spans="1:6" x14ac:dyDescent="0.25">
      <c r="A203" t="s">
        <v>15</v>
      </c>
      <c r="B203" t="s">
        <v>8</v>
      </c>
      <c r="C203" t="str">
        <f t="shared" si="5"/>
        <v>Všechny nositele energie#Veřejná správa</v>
      </c>
      <c r="D203" s="8">
        <v>131.50852623417009</v>
      </c>
      <c r="E203" s="8">
        <v>5.8583371312416705</v>
      </c>
      <c r="F203" s="8">
        <v>1.6319482720296803</v>
      </c>
    </row>
    <row r="204" spans="1:6" x14ac:dyDescent="0.25">
      <c r="A204" t="s">
        <v>54</v>
      </c>
      <c r="B204" t="s">
        <v>6</v>
      </c>
      <c r="C204" t="str">
        <f t="shared" si="5"/>
        <v>Zemní plyn#Služby</v>
      </c>
      <c r="D204" s="8">
        <v>55.42024356714726</v>
      </c>
      <c r="E204" s="8">
        <v>5</v>
      </c>
      <c r="F204" s="8">
        <v>9.9999999999930006E-2</v>
      </c>
    </row>
    <row r="205" spans="1:6" x14ac:dyDescent="0.25">
      <c r="A205" t="s">
        <v>54</v>
      </c>
      <c r="B205" t="s">
        <v>8</v>
      </c>
      <c r="C205" t="str">
        <f t="shared" si="5"/>
        <v>Zemní plyn#Veřejná správa</v>
      </c>
      <c r="D205" s="8">
        <v>55.42024356714726</v>
      </c>
      <c r="E205" s="8">
        <v>5</v>
      </c>
      <c r="F205" s="8">
        <v>9.9999999999930006E-2</v>
      </c>
    </row>
    <row r="206" spans="1:6" x14ac:dyDescent="0.25">
      <c r="A206" t="s">
        <v>12</v>
      </c>
      <c r="B206" t="s">
        <v>42</v>
      </c>
      <c r="C206" t="str">
        <f t="shared" si="5"/>
        <v>Elektřina#Zemědělství</v>
      </c>
      <c r="D206" s="8">
        <v>243.30535699975164</v>
      </c>
      <c r="E206" s="8">
        <v>2.5994178058499644</v>
      </c>
      <c r="F206" s="8">
        <v>3.4119963077868793</v>
      </c>
    </row>
    <row r="207" spans="1:6" x14ac:dyDescent="0.25">
      <c r="A207" t="s">
        <v>14</v>
      </c>
      <c r="B207" t="s">
        <v>42</v>
      </c>
      <c r="C207" t="str">
        <f t="shared" si="5"/>
        <v>Jen paliva#Zemědělství</v>
      </c>
      <c r="D207" s="8">
        <v>54.852044355679887</v>
      </c>
      <c r="E207" s="8">
        <v>14.659514659479546</v>
      </c>
      <c r="F207" s="8">
        <v>3.4468308675901933</v>
      </c>
    </row>
    <row r="208" spans="1:6" x14ac:dyDescent="0.25">
      <c r="A208" t="s">
        <v>51</v>
      </c>
      <c r="B208" t="s">
        <v>42</v>
      </c>
      <c r="C208" t="str">
        <f t="shared" si="5"/>
        <v>Kapalná biopaliva#Zemědělství</v>
      </c>
      <c r="D208" s="8">
        <v>0</v>
      </c>
      <c r="E208" s="8">
        <v>25.879907174627728</v>
      </c>
      <c r="F208" s="8">
        <v>0.37603945078320999</v>
      </c>
    </row>
    <row r="209" spans="1:6" x14ac:dyDescent="0.25">
      <c r="A209" t="s">
        <v>50</v>
      </c>
      <c r="B209" t="s">
        <v>42</v>
      </c>
      <c r="C209" t="str">
        <f t="shared" si="5"/>
        <v>OZE mimo biomasu#Zemědělství</v>
      </c>
      <c r="D209" s="8">
        <v>0</v>
      </c>
      <c r="E209" s="8">
        <v>0</v>
      </c>
      <c r="F209" s="8">
        <v>0</v>
      </c>
    </row>
    <row r="210" spans="1:6" x14ac:dyDescent="0.25">
      <c r="A210" t="s">
        <v>44</v>
      </c>
      <c r="B210" t="s">
        <v>42</v>
      </c>
      <c r="C210" t="str">
        <f t="shared" si="5"/>
        <v>Paliva a teplo#Zemědělství</v>
      </c>
      <c r="D210" s="8">
        <v>55.778282914648379</v>
      </c>
      <c r="E210" s="8">
        <v>14.34722885754233</v>
      </c>
      <c r="F210" s="8">
        <v>3.3930550596542846</v>
      </c>
    </row>
    <row r="211" spans="1:6" x14ac:dyDescent="0.25">
      <c r="A211" t="s">
        <v>52</v>
      </c>
      <c r="B211" t="s">
        <v>42</v>
      </c>
      <c r="C211" t="str">
        <f t="shared" si="5"/>
        <v>Plynná biopaliva#Zemědělství</v>
      </c>
      <c r="D211" s="8">
        <v>0</v>
      </c>
      <c r="E211" s="8">
        <v>25.879907174627728</v>
      </c>
      <c r="F211" s="8">
        <v>0.37603945078320999</v>
      </c>
    </row>
    <row r="212" spans="1:6" x14ac:dyDescent="0.25">
      <c r="A212" t="s">
        <v>13</v>
      </c>
      <c r="B212" t="s">
        <v>42</v>
      </c>
      <c r="C212" t="str">
        <f t="shared" si="5"/>
        <v>Teplo#Zemědělství</v>
      </c>
      <c r="D212" s="8">
        <v>94.926334508551335</v>
      </c>
      <c r="E212" s="8">
        <v>1.1482742600397113</v>
      </c>
      <c r="F212" s="8">
        <v>1.1201869273631482</v>
      </c>
    </row>
    <row r="213" spans="1:6" x14ac:dyDescent="0.25">
      <c r="A213" t="s">
        <v>53</v>
      </c>
      <c r="B213" t="s">
        <v>42</v>
      </c>
      <c r="C213" t="str">
        <f t="shared" si="5"/>
        <v>Tuhá biopaliva#Zemědělství</v>
      </c>
      <c r="D213" s="8">
        <v>0</v>
      </c>
      <c r="E213" s="8">
        <v>25.879907174627728</v>
      </c>
      <c r="F213" s="8">
        <v>0.37603945078320999</v>
      </c>
    </row>
    <row r="214" spans="1:6" x14ac:dyDescent="0.25">
      <c r="A214" t="s">
        <v>15</v>
      </c>
      <c r="B214" t="s">
        <v>42</v>
      </c>
      <c r="C214" t="str">
        <f t="shared" si="5"/>
        <v>Všechny nositele energie#Zemědělství</v>
      </c>
      <c r="D214" s="8">
        <v>81.042174111067311</v>
      </c>
      <c r="E214" s="8">
        <v>12.764548481100512</v>
      </c>
      <c r="F214" s="8">
        <v>3.3956068492253686</v>
      </c>
    </row>
    <row r="215" spans="1:6" x14ac:dyDescent="0.25">
      <c r="A215" t="s">
        <v>54</v>
      </c>
      <c r="B215" t="s">
        <v>42</v>
      </c>
      <c r="C215" t="str">
        <f t="shared" si="5"/>
        <v>Zemní plyn#Zemědělství</v>
      </c>
      <c r="D215" s="8">
        <v>55.420243567147359</v>
      </c>
      <c r="E215" s="8">
        <v>4.99956288381739</v>
      </c>
      <c r="F215" s="8">
        <v>9.9991257678269996E-2</v>
      </c>
    </row>
    <row r="216" spans="1:6" x14ac:dyDescent="0.25">
      <c r="A216" t="s">
        <v>12</v>
      </c>
      <c r="B216" t="s">
        <v>20</v>
      </c>
      <c r="C216" t="str">
        <f t="shared" si="5"/>
        <v>Elektřina#Doprava - železniční</v>
      </c>
      <c r="D216" s="8">
        <v>243.30535699975164</v>
      </c>
      <c r="E216" s="8">
        <v>2.5994178058499644</v>
      </c>
      <c r="F216" s="8">
        <v>3.4119963077868793</v>
      </c>
    </row>
    <row r="217" spans="1:6" x14ac:dyDescent="0.25">
      <c r="A217" t="s">
        <v>14</v>
      </c>
      <c r="B217" t="s">
        <v>20</v>
      </c>
      <c r="C217" t="str">
        <f t="shared" si="5"/>
        <v>Jen paliva#Doprava - železniční</v>
      </c>
      <c r="D217" s="8">
        <v>73.327489711934163</v>
      </c>
      <c r="E217" s="8">
        <v>4.1067352537722908</v>
      </c>
      <c r="F217" s="8">
        <v>28.301838134430731</v>
      </c>
    </row>
    <row r="218" spans="1:6" x14ac:dyDescent="0.25">
      <c r="A218" t="s">
        <v>51</v>
      </c>
      <c r="B218" t="s">
        <v>20</v>
      </c>
      <c r="C218" t="str">
        <f t="shared" si="5"/>
        <v>Kapalná biopaliva#Doprava - železniční</v>
      </c>
      <c r="D218" s="8">
        <v>0</v>
      </c>
      <c r="E218" s="8">
        <v>0</v>
      </c>
      <c r="F218" s="8">
        <v>0</v>
      </c>
    </row>
    <row r="219" spans="1:6" x14ac:dyDescent="0.25">
      <c r="A219" t="s">
        <v>50</v>
      </c>
      <c r="B219" t="s">
        <v>20</v>
      </c>
      <c r="C219" t="str">
        <f t="shared" si="5"/>
        <v>OZE mimo biomasu#Doprava - železniční</v>
      </c>
      <c r="D219" s="8">
        <v>0</v>
      </c>
      <c r="E219" s="8">
        <v>0</v>
      </c>
      <c r="F219" s="8">
        <v>0</v>
      </c>
    </row>
    <row r="220" spans="1:6" x14ac:dyDescent="0.25">
      <c r="A220" t="s">
        <v>44</v>
      </c>
      <c r="B220" t="s">
        <v>20</v>
      </c>
      <c r="C220" t="str">
        <f t="shared" si="5"/>
        <v>Paliva a teplo#Doprava - železniční</v>
      </c>
      <c r="D220" s="8">
        <v>73.327489711934163</v>
      </c>
      <c r="E220" s="8">
        <v>4.1067352537722908</v>
      </c>
      <c r="F220" s="8">
        <v>28.301838134430731</v>
      </c>
    </row>
    <row r="221" spans="1:6" x14ac:dyDescent="0.25">
      <c r="A221" t="s">
        <v>52</v>
      </c>
      <c r="B221" t="s">
        <v>20</v>
      </c>
      <c r="C221" t="str">
        <f t="shared" si="5"/>
        <v>Plynná biopaliva#Doprava - železniční</v>
      </c>
      <c r="D221" s="8">
        <v>0</v>
      </c>
      <c r="E221" s="8">
        <v>0</v>
      </c>
      <c r="F221" s="8">
        <v>0</v>
      </c>
    </row>
    <row r="222" spans="1:6" x14ac:dyDescent="0.25">
      <c r="A222" t="s">
        <v>13</v>
      </c>
      <c r="B222" t="s">
        <v>20</v>
      </c>
      <c r="C222" t="str">
        <f t="shared" si="5"/>
        <v>Teplo#Doprava - železniční</v>
      </c>
      <c r="D222" s="8">
        <v>94.926334508551335</v>
      </c>
      <c r="E222" s="8">
        <v>1.1482742600397113</v>
      </c>
      <c r="F222" s="8">
        <v>1.1201869273631482</v>
      </c>
    </row>
    <row r="223" spans="1:6" x14ac:dyDescent="0.25">
      <c r="A223" t="s">
        <v>53</v>
      </c>
      <c r="B223" t="s">
        <v>20</v>
      </c>
      <c r="C223" t="str">
        <f t="shared" si="5"/>
        <v>Tuhá biopaliva#Doprava - železniční</v>
      </c>
      <c r="D223" s="8">
        <v>0</v>
      </c>
      <c r="E223" s="8">
        <v>0</v>
      </c>
      <c r="F223" s="8">
        <v>0</v>
      </c>
    </row>
    <row r="224" spans="1:6" x14ac:dyDescent="0.25">
      <c r="A224" t="s">
        <v>15</v>
      </c>
      <c r="B224" t="s">
        <v>20</v>
      </c>
      <c r="C224" t="str">
        <f t="shared" si="5"/>
        <v>Všechny nositele energie#Doprava - železniční</v>
      </c>
      <c r="D224" s="8">
        <v>174.890016202038</v>
      </c>
      <c r="E224" s="8">
        <v>3.2061064208761221</v>
      </c>
      <c r="F224" s="8">
        <v>13.43004770554713</v>
      </c>
    </row>
    <row r="225" spans="1:6" x14ac:dyDescent="0.25">
      <c r="A225" t="s">
        <v>54</v>
      </c>
      <c r="B225" t="s">
        <v>20</v>
      </c>
      <c r="C225" t="str">
        <f t="shared" si="5"/>
        <v>Zemní plyn#Doprava - železniční</v>
      </c>
      <c r="D225" s="8">
        <v>0</v>
      </c>
      <c r="E225" s="8">
        <v>0</v>
      </c>
      <c r="F225" s="8">
        <v>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B1:X221"/>
  <sheetViews>
    <sheetView zoomScale="80" zoomScaleNormal="80" workbookViewId="0">
      <pane xSplit="4" ySplit="1" topLeftCell="E167" activePane="bottomRight" state="frozen"/>
      <selection pane="topRight" activeCell="E1" sqref="E1"/>
      <selection pane="bottomLeft" activeCell="A2" sqref="A2"/>
      <selection pane="bottomRight" activeCell="A201" sqref="A201"/>
    </sheetView>
  </sheetViews>
  <sheetFormatPr defaultColWidth="9.140625" defaultRowHeight="15" x14ac:dyDescent="0.25"/>
  <cols>
    <col min="1" max="1" width="9.140625" style="3"/>
    <col min="2" max="2" width="14.28515625" style="3" bestFit="1" customWidth="1"/>
    <col min="3" max="3" width="44.140625" style="3" customWidth="1"/>
    <col min="4" max="4" width="90.7109375" style="3" bestFit="1" customWidth="1"/>
    <col min="5" max="5" width="61.7109375" style="3" customWidth="1"/>
    <col min="6" max="9" width="18" style="3" customWidth="1"/>
    <col min="10" max="10" width="25.42578125" style="3" customWidth="1"/>
    <col min="11" max="11" width="20.140625" style="3" customWidth="1"/>
    <col min="12" max="12" width="14" style="3" customWidth="1"/>
    <col min="13" max="13" width="24.42578125" style="3" bestFit="1" customWidth="1"/>
    <col min="14" max="14" width="22.7109375" style="3" bestFit="1" customWidth="1"/>
    <col min="15" max="18" width="22.7109375" style="3" customWidth="1"/>
    <col min="19" max="19" width="29.5703125" style="3" bestFit="1" customWidth="1"/>
    <col min="20" max="20" width="28.42578125" style="3" bestFit="1" customWidth="1"/>
    <col min="21" max="21" width="28.85546875" style="3" bestFit="1" customWidth="1"/>
    <col min="22" max="22" width="32.85546875" style="3" bestFit="1" customWidth="1"/>
    <col min="23" max="23" width="23.42578125" style="3" bestFit="1" customWidth="1"/>
    <col min="24" max="16384" width="9.140625" style="3"/>
  </cols>
  <sheetData>
    <row r="1" spans="2:24" ht="18" x14ac:dyDescent="0.25">
      <c r="B1" s="3" t="s">
        <v>35</v>
      </c>
      <c r="C1" s="3" t="s">
        <v>36</v>
      </c>
      <c r="D1" s="3" t="s">
        <v>89</v>
      </c>
      <c r="E1" s="3" t="s">
        <v>325</v>
      </c>
      <c r="F1" s="5" t="s">
        <v>9</v>
      </c>
      <c r="G1" s="5" t="s">
        <v>285</v>
      </c>
      <c r="H1" s="5" t="s">
        <v>295</v>
      </c>
      <c r="I1" s="5" t="s">
        <v>296</v>
      </c>
      <c r="J1" s="5" t="s">
        <v>10</v>
      </c>
      <c r="K1" s="5" t="s">
        <v>284</v>
      </c>
      <c r="L1" s="5" t="s">
        <v>11</v>
      </c>
      <c r="M1" s="5" t="s">
        <v>37</v>
      </c>
      <c r="N1" s="5" t="s">
        <v>43</v>
      </c>
      <c r="O1" s="5" t="s">
        <v>300</v>
      </c>
      <c r="P1" s="5" t="s">
        <v>301</v>
      </c>
      <c r="Q1" s="5" t="s">
        <v>302</v>
      </c>
      <c r="R1" s="5" t="s">
        <v>304</v>
      </c>
      <c r="S1" s="5" t="s">
        <v>45</v>
      </c>
      <c r="T1" s="6" t="s">
        <v>48</v>
      </c>
      <c r="U1" s="6" t="s">
        <v>49</v>
      </c>
      <c r="V1" s="6" t="s">
        <v>47</v>
      </c>
      <c r="W1" s="6" t="s">
        <v>55</v>
      </c>
      <c r="X1" s="5" t="s">
        <v>350</v>
      </c>
    </row>
    <row r="2" spans="2:24" x14ac:dyDescent="0.25">
      <c r="B2" s="3" t="s">
        <v>4</v>
      </c>
      <c r="C2" s="3" t="s">
        <v>63</v>
      </c>
      <c r="D2" s="3" t="s">
        <v>109</v>
      </c>
      <c r="E2" s="3" t="str">
        <f>CONCATENATE(Úsporná_opatření[[#This Row],[Sektor]],Úsporná_opatření[[#This Row],[Opatření]])</f>
        <v>PrůmyslEnergetický management</v>
      </c>
      <c r="F2" s="4">
        <v>890.78618102169889</v>
      </c>
      <c r="G2" s="11">
        <f>VLOOKUP(Úsporná_opatření[[#This Row],[Opatření podrobně]],Potenciál_opatření!$A$1:$C$191,3,0)</f>
        <v>0</v>
      </c>
      <c r="H2" s="13">
        <f>Úsporná_opatření[[#This Row],[Potenciál úspor energie v TJ]]*Úsporná_opatření[[#This Row],[Investice '[Kč/GJ']]]*1000</f>
        <v>43157970.604389578</v>
      </c>
      <c r="I2" s="13">
        <f>Úsporná_opatření[[#This Row],[Podíl dotace '[%']]]*Úsporná_opatření[[#This Row],[Investice]]</f>
        <v>0</v>
      </c>
      <c r="J2" s="3">
        <v>1.5</v>
      </c>
      <c r="K2" s="12">
        <f>VLOOKUP(Úsporná_opatření[[#This Row],[Opatření podrobně]],Potenciál_opatření!$A$1:$C$191,2,0)</f>
        <v>48.449304135913941</v>
      </c>
      <c r="L2" s="3">
        <v>10</v>
      </c>
      <c r="M2" s="3" t="s">
        <v>15</v>
      </c>
      <c r="N2" s="3" t="s">
        <v>4</v>
      </c>
      <c r="O2" s="4">
        <f>Úsporná_opatření[[#This Row],[Potenciál úspor energie v TJ]]*Úsporná_opatření[[#This Row],[Emisní koeficient CO2 '[kg/GJ']]]</f>
        <v>5307.6524504489416</v>
      </c>
      <c r="P2" s="4">
        <f>Úsporná_opatření[[#This Row],[Potenciál úspor energie v TJ]]*Úsporná_opatření[[#This Row],[Emisní koeficient CH4 '[g/GJ']]]</f>
        <v>207.15239166971219</v>
      </c>
      <c r="Q2" s="4">
        <f>Úsporná_opatření[[#This Row],[Potenciál úspor energie v TJ]]*Úsporná_opatření[[#This Row],[Emisní koeficient N2O '[g/GJ']]]</f>
        <v>71.331087345253124</v>
      </c>
      <c r="R2" s="4">
        <f>Úsporná_opatření[[#This Row],[Potenciál úspor energie v TJ]]*Úsporná_opatření[[#This Row],[Emisní koeficient CO2 eq '[kg/GJ']]]</f>
        <v>5334.0879242695701</v>
      </c>
      <c r="S2" s="7">
        <f>VLOOKUP(Úsporná_opatření[[#This Row],[Šetřený nositel energie]] &amp; "#" &amp; Úsporná_opatření[[#This Row],[Nejpodobnější sektor]],Emiskoef,2,FALSE)</f>
        <v>109.55064360799655</v>
      </c>
      <c r="T2" s="7">
        <f>VLOOKUP(Úsporná_opatření[[#This Row],[Šetřený nositel energie]] &amp; "#" &amp; Úsporná_opatření[[#This Row],[Nejpodobnější sektor]],Emiskoef,3,FALSE)</f>
        <v>4.2756525684784119</v>
      </c>
      <c r="U2" s="7">
        <f>VLOOKUP(Úsporná_opatření[[#This Row],[Šetřený nositel energie]] &amp; "#" &amp; Úsporná_opatření[[#This Row],[Nejpodobnější sektor]],Emiskoef,4,FALSE)</f>
        <v>1.4722830104050479</v>
      </c>
      <c r="V2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2" s="4">
        <f>1000*Úsporná_opatření[[#This Row],[Investice '[Kč/GJ']]]/Úsporná_opatření[[#This Row],[Emisní koeficient CO2 eq '[kg/GJ']]]</f>
        <v>8090.974730286147</v>
      </c>
      <c r="X2" s="7" t="s">
        <v>351</v>
      </c>
    </row>
    <row r="3" spans="2:24" x14ac:dyDescent="0.25">
      <c r="B3" s="3" t="s">
        <v>4</v>
      </c>
      <c r="C3" s="3" t="s">
        <v>63</v>
      </c>
      <c r="D3" s="3" t="s">
        <v>124</v>
      </c>
      <c r="E3" s="3" t="str">
        <f>CONCATENATE(Úsporná_opatření[[#This Row],[Sektor]],Úsporná_opatření[[#This Row],[Opatření]])</f>
        <v>PrůmyslEnergetický management</v>
      </c>
      <c r="F3" s="4">
        <v>1274.57595145646</v>
      </c>
      <c r="G3" s="11">
        <f>VLOOKUP(Úsporná_opatření[[#This Row],[Opatření podrobně]],Potenciál_opatření!$A$1:$C$191,3,0)</f>
        <v>0</v>
      </c>
      <c r="H3" s="13">
        <f>Úsporná_opatření[[#This Row],[Potenciál úspor energie v TJ]]*Úsporná_opatření[[#This Row],[Investice '[Kč/GJ']]]*1000</f>
        <v>617523179.16435909</v>
      </c>
      <c r="I3" s="13">
        <f>Úsporná_opatření[[#This Row],[Podíl dotace '[%']]]*Úsporná_opatření[[#This Row],[Investice]]</f>
        <v>0</v>
      </c>
      <c r="J3" s="3">
        <v>4</v>
      </c>
      <c r="K3" s="12">
        <f>VLOOKUP(Úsporná_opatření[[#This Row],[Opatření podrobně]],Potenciál_opatření!$A$1:$C$191,2,0)</f>
        <v>484.4930413591394</v>
      </c>
      <c r="L3" s="3">
        <v>10</v>
      </c>
      <c r="M3" s="3" t="s">
        <v>15</v>
      </c>
      <c r="N3" s="3" t="s">
        <v>4</v>
      </c>
      <c r="O3" s="4">
        <f>Úsporná_opatření[[#This Row],[Potenciál úspor energie v TJ]]*Úsporná_opatření[[#This Row],[Emisní koeficient CO2 '[kg/GJ']]]</f>
        <v>53076.524504489411</v>
      </c>
      <c r="P3" s="4">
        <f>Úsporná_opatření[[#This Row],[Potenciál úspor energie v TJ]]*Úsporná_opatření[[#This Row],[Emisní koeficient CH4 '[g/GJ']]]</f>
        <v>2071.5239166971219</v>
      </c>
      <c r="Q3" s="4">
        <f>Úsporná_opatření[[#This Row],[Potenciál úspor energie v TJ]]*Úsporná_opatření[[#This Row],[Emisní koeficient N2O '[g/GJ']]]</f>
        <v>713.31087345253115</v>
      </c>
      <c r="R3" s="4">
        <f>Úsporná_opatření[[#This Row],[Potenciál úspor energie v TJ]]*Úsporná_opatření[[#This Row],[Emisní koeficient CO2 eq '[kg/GJ']]]</f>
        <v>53340.879242695701</v>
      </c>
      <c r="S3" s="7">
        <f>VLOOKUP(Úsporná_opatření[[#This Row],[Šetřený nositel energie]] &amp; "#" &amp; Úsporná_opatření[[#This Row],[Nejpodobnější sektor]],Emiskoef,2,FALSE)</f>
        <v>109.55064360799655</v>
      </c>
      <c r="T3" s="7">
        <f>VLOOKUP(Úsporná_opatření[[#This Row],[Šetřený nositel energie]] &amp; "#" &amp; Úsporná_opatření[[#This Row],[Nejpodobnější sektor]],Emiskoef,3,FALSE)</f>
        <v>4.2756525684784119</v>
      </c>
      <c r="U3" s="7">
        <f>VLOOKUP(Úsporná_opatření[[#This Row],[Šetřený nositel energie]] &amp; "#" &amp; Úsporná_opatření[[#This Row],[Nejpodobnější sektor]],Emiskoef,4,FALSE)</f>
        <v>1.4722830104050479</v>
      </c>
      <c r="V3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3" s="4">
        <f>1000*Úsporná_opatření[[#This Row],[Investice '[Kč/GJ']]]/Úsporná_opatření[[#This Row],[Emisní koeficient CO2 eq '[kg/GJ']]]</f>
        <v>11576.921639305756</v>
      </c>
      <c r="X3" s="7" t="s">
        <v>352</v>
      </c>
    </row>
    <row r="4" spans="2:24" x14ac:dyDescent="0.25">
      <c r="B4" s="3" t="s">
        <v>6</v>
      </c>
      <c r="C4" s="3" t="s">
        <v>63</v>
      </c>
      <c r="D4" s="3" t="s">
        <v>133</v>
      </c>
      <c r="E4" s="3" t="str">
        <f>CONCATENATE(Úsporná_opatření[[#This Row],[Sektor]],Úsporná_opatření[[#This Row],[Opatření]])</f>
        <v>SlužbyEnergetický management</v>
      </c>
      <c r="F4" s="4">
        <v>1766.8638800245233</v>
      </c>
      <c r="G4" s="11">
        <f>VLOOKUP(Úsporná_opatření[[#This Row],[Opatření podrobně]],Potenciál_opatření!$A$1:$C$191,3,0)</f>
        <v>0</v>
      </c>
      <c r="H4" s="13">
        <f>Úsporná_opatření[[#This Row],[Potenciál úspor energie v TJ]]*Úsporná_opatření[[#This Row],[Investice '[Kč/GJ']]]*1000</f>
        <v>9062934.6501124576</v>
      </c>
      <c r="I4" s="13">
        <f>Úsporná_opatření[[#This Row],[Podíl dotace '[%']]]*Úsporná_opatření[[#This Row],[Investice]]</f>
        <v>0</v>
      </c>
      <c r="J4" s="3">
        <v>1.5</v>
      </c>
      <c r="K4" s="12">
        <f>VLOOKUP(Úsporná_opatření[[#This Row],[Opatření podrobně]],Potenciál_opatření!$A$1:$C$191,2,0)</f>
        <v>5.1293904146066245</v>
      </c>
      <c r="L4" s="3">
        <v>10</v>
      </c>
      <c r="M4" s="3" t="s">
        <v>15</v>
      </c>
      <c r="N4" s="3" t="s">
        <v>6</v>
      </c>
      <c r="O4" s="4">
        <f>Úsporná_opatření[[#This Row],[Potenciál úspor energie v TJ]]*Úsporná_opatření[[#This Row],[Emisní koeficient CO2 '[kg/GJ']]]</f>
        <v>674.55857390459585</v>
      </c>
      <c r="P4" s="4">
        <f>Úsporná_opatření[[#This Row],[Potenciál úspor energie v TJ]]*Úsporná_opatření[[#This Row],[Emisní koeficient CH4 '[g/GJ']]]</f>
        <v>30.049698326525096</v>
      </c>
      <c r="Q4" s="4">
        <f>Úsporná_opatření[[#This Row],[Potenciál úspor energie v TJ]]*Úsporná_opatření[[#This Row],[Emisní koeficient N2O '[g/GJ']]]</f>
        <v>8.3708998236828869</v>
      </c>
      <c r="R4" s="4">
        <f>Úsporná_opatření[[#This Row],[Potenciál úspor energie v TJ]]*Úsporná_opatření[[#This Row],[Emisní koeficient CO2 eq '[kg/GJ']]]</f>
        <v>677.80434451021654</v>
      </c>
      <c r="S4" s="7">
        <f>VLOOKUP(Úsporná_opatření[[#This Row],[Šetřený nositel energie]] &amp; "#" &amp; Úsporná_opatření[[#This Row],[Nejpodobnější sektor]],Emiskoef,2,FALSE)</f>
        <v>131.50852623417009</v>
      </c>
      <c r="T4" s="7">
        <f>VLOOKUP(Úsporná_opatření[[#This Row],[Šetřený nositel energie]] &amp; "#" &amp; Úsporná_opatření[[#This Row],[Nejpodobnější sektor]],Emiskoef,3,FALSE)</f>
        <v>5.8583371312416705</v>
      </c>
      <c r="U4" s="7">
        <f>VLOOKUP(Úsporná_opatření[[#This Row],[Šetřený nositel energie]] &amp; "#" &amp; Úsporná_opatření[[#This Row],[Nejpodobnější sektor]],Emiskoef,4,FALSE)</f>
        <v>1.6319482720296803</v>
      </c>
      <c r="V4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4" s="4">
        <f>1000*Úsporná_opatření[[#This Row],[Investice '[Kč/GJ']]]/Úsporná_opatření[[#This Row],[Emisní koeficient CO2 eq '[kg/GJ']]]</f>
        <v>13371.018824999363</v>
      </c>
      <c r="X4" s="7" t="s">
        <v>351</v>
      </c>
    </row>
    <row r="5" spans="2:24" x14ac:dyDescent="0.25">
      <c r="B5" s="3" t="s">
        <v>311</v>
      </c>
      <c r="C5" s="3" t="s">
        <v>63</v>
      </c>
      <c r="D5" s="3" t="s">
        <v>134</v>
      </c>
      <c r="E5" s="3" t="str">
        <f>CONCATENATE(Úsporná_opatření[[#This Row],[Sektor]],Úsporná_opatření[[#This Row],[Opatření]])</f>
        <v>veřejná správaEnergetický management</v>
      </c>
      <c r="F5" s="4">
        <v>1766.8638800245233</v>
      </c>
      <c r="G5" s="11">
        <f>VLOOKUP(Úsporná_opatření[[#This Row],[Opatření podrobně]],Potenciál_opatření!$A$1:$C$191,3,0)</f>
        <v>0</v>
      </c>
      <c r="H5" s="13">
        <f>Úsporná_opatření[[#This Row],[Potenciál úspor energie v TJ]]*Úsporná_opatření[[#This Row],[Investice '[Kč/GJ']]]*1000</f>
        <v>10050190.659030477</v>
      </c>
      <c r="I5" s="13">
        <f>Úsporná_opatření[[#This Row],[Podíl dotace '[%']]]*Úsporná_opatření[[#This Row],[Investice]]</f>
        <v>0</v>
      </c>
      <c r="J5" s="3">
        <v>1.5</v>
      </c>
      <c r="K5" s="12">
        <f>VLOOKUP(Úsporná_opatření[[#This Row],[Opatření podrobně]],Potenciál_opatření!$A$1:$C$191,2,0)</f>
        <v>5.6881521959071266</v>
      </c>
      <c r="L5" s="3">
        <v>10</v>
      </c>
      <c r="M5" s="3" t="s">
        <v>15</v>
      </c>
      <c r="N5" s="3" t="s">
        <v>8</v>
      </c>
      <c r="O5" s="4">
        <f>Úsporná_opatření[[#This Row],[Potenciál úspor energie v TJ]]*Úsporná_opatření[[#This Row],[Emisní koeficient CO2 '[kg/GJ']]]</f>
        <v>748.04051227940454</v>
      </c>
      <c r="P5" s="4">
        <f>Úsporná_opatření[[#This Row],[Potenciál úspor energie v TJ]]*Úsporná_opatření[[#This Row],[Emisní koeficient CH4 '[g/GJ']]]</f>
        <v>33.323113217436564</v>
      </c>
      <c r="Q5" s="4">
        <f>Úsporná_opatření[[#This Row],[Potenciál úspor energie v TJ]]*Úsporná_opatření[[#This Row],[Emisní koeficient N2O '[g/GJ']]]</f>
        <v>9.2827701471524673</v>
      </c>
      <c r="R5" s="4">
        <f>Úsporná_opatření[[#This Row],[Potenciál úspor energie v TJ]]*Úsporná_opatření[[#This Row],[Emisní koeficient CO2 eq '[kg/GJ']]]</f>
        <v>751.63985561369202</v>
      </c>
      <c r="S5" s="7">
        <f>VLOOKUP(Úsporná_opatření[[#This Row],[Šetřený nositel energie]] &amp; "#" &amp; Úsporná_opatření[[#This Row],[Nejpodobnější sektor]],Emiskoef,2,FALSE)</f>
        <v>131.50852623417009</v>
      </c>
      <c r="T5" s="7">
        <f>VLOOKUP(Úsporná_opatření[[#This Row],[Šetřený nositel energie]] &amp; "#" &amp; Úsporná_opatření[[#This Row],[Nejpodobnější sektor]],Emiskoef,3,FALSE)</f>
        <v>5.8583371312416705</v>
      </c>
      <c r="U5" s="7">
        <f>VLOOKUP(Úsporná_opatření[[#This Row],[Šetřený nositel energie]] &amp; "#" &amp; Úsporná_opatření[[#This Row],[Nejpodobnější sektor]],Emiskoef,4,FALSE)</f>
        <v>1.6319482720296803</v>
      </c>
      <c r="V5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5" s="4">
        <f>1000*Úsporná_opatření[[#This Row],[Investice '[Kč/GJ']]]/Úsporná_opatření[[#This Row],[Emisní koeficient CO2 eq '[kg/GJ']]]</f>
        <v>13371.018824999363</v>
      </c>
      <c r="X5" s="7" t="s">
        <v>351</v>
      </c>
    </row>
    <row r="6" spans="2:24" x14ac:dyDescent="0.25">
      <c r="B6" s="3" t="s">
        <v>4</v>
      </c>
      <c r="C6" s="3" t="s">
        <v>63</v>
      </c>
      <c r="D6" s="3" t="s">
        <v>139</v>
      </c>
      <c r="E6" s="3" t="str">
        <f>CONCATENATE(Úsporná_opatření[[#This Row],[Sektor]],Úsporná_opatření[[#This Row],[Opatření]])</f>
        <v>PrůmyslEnergetický management</v>
      </c>
      <c r="F6" s="4">
        <v>1993.2296857560561</v>
      </c>
      <c r="G6" s="11">
        <f>VLOOKUP(Úsporná_opatření[[#This Row],[Opatření podrobně]],Potenciál_opatření!$A$1:$C$191,3,0)</f>
        <v>0.375</v>
      </c>
      <c r="H6" s="13">
        <f>Úsporná_opatření[[#This Row],[Potenciál úspor energie v TJ]]*Úsporná_opatření[[#This Row],[Investice '[Kč/GJ']]]*1000</f>
        <v>869135321.32134593</v>
      </c>
      <c r="I6" s="13">
        <f>Úsporná_opatření[[#This Row],[Podíl dotace '[%']]]*Úsporná_opatření[[#This Row],[Investice]]</f>
        <v>325925745.49550474</v>
      </c>
      <c r="J6" s="3">
        <v>8</v>
      </c>
      <c r="K6" s="12">
        <f>VLOOKUP(Úsporná_opatření[[#This Row],[Opatření podrobně]],Potenciál_opatření!$A$1:$C$191,2,0)</f>
        <v>436.04373722322543</v>
      </c>
      <c r="L6" s="3">
        <v>10</v>
      </c>
      <c r="M6" s="3" t="s">
        <v>15</v>
      </c>
      <c r="N6" s="3" t="s">
        <v>4</v>
      </c>
      <c r="O6" s="4">
        <f>Úsporná_opatření[[#This Row],[Potenciál úspor energie v TJ]]*Úsporná_opatření[[#This Row],[Emisní koeficient CO2 '[kg/GJ']]]</f>
        <v>47768.872054040468</v>
      </c>
      <c r="P6" s="4">
        <f>Úsporná_opatření[[#This Row],[Potenciál úspor energie v TJ]]*Úsporná_opatření[[#This Row],[Emisní koeficient CH4 '[g/GJ']]]</f>
        <v>1864.3715250274095</v>
      </c>
      <c r="Q6" s="4">
        <f>Úsporná_opatření[[#This Row],[Potenciál úspor energie v TJ]]*Úsporná_opatření[[#This Row],[Emisní koeficient N2O '[g/GJ']]]</f>
        <v>641.97978610727796</v>
      </c>
      <c r="R6" s="4">
        <f>Úsporná_opatření[[#This Row],[Potenciál úspor energie v TJ]]*Úsporná_opatření[[#This Row],[Emisní koeficient CO2 eq '[kg/GJ']]]</f>
        <v>48006.791318426127</v>
      </c>
      <c r="S6" s="7">
        <f>VLOOKUP(Úsporná_opatření[[#This Row],[Šetřený nositel energie]] &amp; "#" &amp; Úsporná_opatření[[#This Row],[Nejpodobnější sektor]],Emiskoef,2,FALSE)</f>
        <v>109.55064360799655</v>
      </c>
      <c r="T6" s="7">
        <f>VLOOKUP(Úsporná_opatření[[#This Row],[Šetřený nositel energie]] &amp; "#" &amp; Úsporná_opatření[[#This Row],[Nejpodobnější sektor]],Emiskoef,3,FALSE)</f>
        <v>4.2756525684784119</v>
      </c>
      <c r="U6" s="7">
        <f>VLOOKUP(Úsporná_opatření[[#This Row],[Šetřený nositel energie]] &amp; "#" &amp; Úsporná_opatření[[#This Row],[Nejpodobnější sektor]],Emiskoef,4,FALSE)</f>
        <v>1.4722830104050479</v>
      </c>
      <c r="V6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6" s="4">
        <f>1000*Úsporná_opatření[[#This Row],[Investice '[Kč/GJ']]]/Úsporná_opatření[[#This Row],[Emisní koeficient CO2 eq '[kg/GJ']]]</f>
        <v>18104.424341889968</v>
      </c>
      <c r="X6" s="7" t="s">
        <v>353</v>
      </c>
    </row>
    <row r="7" spans="2:24" x14ac:dyDescent="0.25">
      <c r="B7" s="3" t="s">
        <v>6</v>
      </c>
      <c r="C7" s="3" t="s">
        <v>63</v>
      </c>
      <c r="D7" s="3" t="s">
        <v>144</v>
      </c>
      <c r="E7" s="3" t="str">
        <f>CONCATENATE(Úsporná_opatření[[#This Row],[Sektor]],Úsporná_opatření[[#This Row],[Opatření]])</f>
        <v>SlužbyEnergetický management</v>
      </c>
      <c r="F7" s="4">
        <v>2113.2424294824432</v>
      </c>
      <c r="G7" s="11">
        <f>VLOOKUP(Úsporná_opatření[[#This Row],[Opatření podrobně]],Potenciál_opatření!$A$1:$C$191,3,0)</f>
        <v>0</v>
      </c>
      <c r="H7" s="13">
        <f>Úsporná_opatření[[#This Row],[Potenciál úspor energie v TJ]]*Úsporná_opatření[[#This Row],[Investice '[Kč/GJ']]]*1000</f>
        <v>108396454.61527258</v>
      </c>
      <c r="I7" s="13">
        <f>Úsporná_opatření[[#This Row],[Podíl dotace '[%']]]*Úsporná_opatření[[#This Row],[Investice]]</f>
        <v>0</v>
      </c>
      <c r="J7" s="3">
        <v>4</v>
      </c>
      <c r="K7" s="12">
        <f>VLOOKUP(Úsporná_opatření[[#This Row],[Opatření podrobně]],Potenciál_opatření!$A$1:$C$191,2,0)</f>
        <v>51.293904146066239</v>
      </c>
      <c r="L7" s="3">
        <v>10</v>
      </c>
      <c r="M7" s="3" t="s">
        <v>15</v>
      </c>
      <c r="N7" s="3" t="s">
        <v>6</v>
      </c>
      <c r="O7" s="4">
        <f>Úsporná_opatření[[#This Row],[Potenciál úspor energie v TJ]]*Úsporná_opatření[[#This Row],[Emisní koeficient CO2 '[kg/GJ']]]</f>
        <v>6745.5857390459578</v>
      </c>
      <c r="P7" s="4">
        <f>Úsporná_opatření[[#This Row],[Potenciál úspor energie v TJ]]*Úsporná_opatření[[#This Row],[Emisní koeficient CH4 '[g/GJ']]]</f>
        <v>300.49698326525095</v>
      </c>
      <c r="Q7" s="4">
        <f>Úsporná_opatření[[#This Row],[Potenciál úspor energie v TJ]]*Úsporná_opatření[[#This Row],[Emisní koeficient N2O '[g/GJ']]]</f>
        <v>83.708998236828847</v>
      </c>
      <c r="R7" s="4">
        <f>Úsporná_opatření[[#This Row],[Potenciál úspor energie v TJ]]*Úsporná_opatření[[#This Row],[Emisní koeficient CO2 eq '[kg/GJ']]]</f>
        <v>6778.0434451021647</v>
      </c>
      <c r="S7" s="7">
        <f>VLOOKUP(Úsporná_opatření[[#This Row],[Šetřený nositel energie]] &amp; "#" &amp; Úsporná_opatření[[#This Row],[Nejpodobnější sektor]],Emiskoef,2,FALSE)</f>
        <v>131.50852623417009</v>
      </c>
      <c r="T7" s="7">
        <f>VLOOKUP(Úsporná_opatření[[#This Row],[Šetřený nositel energie]] &amp; "#" &amp; Úsporná_opatření[[#This Row],[Nejpodobnější sektor]],Emiskoef,3,FALSE)</f>
        <v>5.8583371312416705</v>
      </c>
      <c r="U7" s="7">
        <f>VLOOKUP(Úsporná_opatření[[#This Row],[Šetřený nositel energie]] &amp; "#" &amp; Úsporná_opatření[[#This Row],[Nejpodobnější sektor]],Emiskoef,4,FALSE)</f>
        <v>1.6319482720296803</v>
      </c>
      <c r="V7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7" s="4">
        <f>1000*Úsporná_opatření[[#This Row],[Investice '[Kč/GJ']]]/Úsporná_opatření[[#This Row],[Emisní koeficient CO2 eq '[kg/GJ']]]</f>
        <v>15992.29268640941</v>
      </c>
      <c r="X7" s="7" t="s">
        <v>352</v>
      </c>
    </row>
    <row r="8" spans="2:24" x14ac:dyDescent="0.25">
      <c r="B8" s="3" t="s">
        <v>311</v>
      </c>
      <c r="C8" s="3" t="s">
        <v>63</v>
      </c>
      <c r="D8" s="3" t="s">
        <v>145</v>
      </c>
      <c r="E8" s="3" t="str">
        <f>CONCATENATE(Úsporná_opatření[[#This Row],[Sektor]],Úsporná_opatření[[#This Row],[Opatření]])</f>
        <v>veřejná správaEnergetický management</v>
      </c>
      <c r="F8" s="4">
        <v>2113.2424294824432</v>
      </c>
      <c r="G8" s="11">
        <f>VLOOKUP(Úsporná_opatření[[#This Row],[Opatření podrobně]],Potenciál_opatření!$A$1:$C$191,3,0)</f>
        <v>0</v>
      </c>
      <c r="H8" s="13">
        <f>Úsporná_opatření[[#This Row],[Potenciál úspor energie v TJ]]*Úsporná_opatření[[#This Row],[Investice '[Kč/GJ']]]*1000</f>
        <v>120204445.6574467</v>
      </c>
      <c r="I8" s="13">
        <f>Úsporná_opatření[[#This Row],[Podíl dotace '[%']]]*Úsporná_opatření[[#This Row],[Investice]]</f>
        <v>0</v>
      </c>
      <c r="J8" s="3">
        <v>4</v>
      </c>
      <c r="K8" s="12">
        <f>VLOOKUP(Úsporná_opatření[[#This Row],[Opatření podrobně]],Potenciál_opatření!$A$1:$C$191,2,0)</f>
        <v>56.881521959071264</v>
      </c>
      <c r="L8" s="3">
        <v>10</v>
      </c>
      <c r="M8" s="3" t="s">
        <v>15</v>
      </c>
      <c r="N8" s="3" t="s">
        <v>8</v>
      </c>
      <c r="O8" s="4">
        <f>Úsporná_opatření[[#This Row],[Potenciál úspor energie v TJ]]*Úsporná_opatření[[#This Row],[Emisní koeficient CO2 '[kg/GJ']]]</f>
        <v>7480.4051227940454</v>
      </c>
      <c r="P8" s="4">
        <f>Úsporná_opatření[[#This Row],[Potenciál úspor energie v TJ]]*Úsporná_opatření[[#This Row],[Emisní koeficient CH4 '[g/GJ']]]</f>
        <v>333.23113217436565</v>
      </c>
      <c r="Q8" s="4">
        <f>Úsporná_opatření[[#This Row],[Potenciál úspor energie v TJ]]*Úsporná_opatření[[#This Row],[Emisní koeficient N2O '[g/GJ']]]</f>
        <v>92.827701471524662</v>
      </c>
      <c r="R8" s="4">
        <f>Úsporná_opatření[[#This Row],[Potenciál úspor energie v TJ]]*Úsporná_opatření[[#This Row],[Emisní koeficient CO2 eq '[kg/GJ']]]</f>
        <v>7516.39855613692</v>
      </c>
      <c r="S8" s="7">
        <f>VLOOKUP(Úsporná_opatření[[#This Row],[Šetřený nositel energie]] &amp; "#" &amp; Úsporná_opatření[[#This Row],[Nejpodobnější sektor]],Emiskoef,2,FALSE)</f>
        <v>131.50852623417009</v>
      </c>
      <c r="T8" s="7">
        <f>VLOOKUP(Úsporná_opatření[[#This Row],[Šetřený nositel energie]] &amp; "#" &amp; Úsporná_opatření[[#This Row],[Nejpodobnější sektor]],Emiskoef,3,FALSE)</f>
        <v>5.8583371312416705</v>
      </c>
      <c r="U8" s="7">
        <f>VLOOKUP(Úsporná_opatření[[#This Row],[Šetřený nositel energie]] &amp; "#" &amp; Úsporná_opatření[[#This Row],[Nejpodobnější sektor]],Emiskoef,4,FALSE)</f>
        <v>1.6319482720296803</v>
      </c>
      <c r="V8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8" s="4">
        <f>1000*Úsporná_opatření[[#This Row],[Investice '[Kč/GJ']]]/Úsporná_opatření[[#This Row],[Emisní koeficient CO2 eq '[kg/GJ']]]</f>
        <v>15992.29268640941</v>
      </c>
      <c r="X8" s="7" t="s">
        <v>352</v>
      </c>
    </row>
    <row r="9" spans="2:24" x14ac:dyDescent="0.25">
      <c r="B9" s="3" t="s">
        <v>6</v>
      </c>
      <c r="C9" s="3" t="s">
        <v>63</v>
      </c>
      <c r="D9" s="3" t="s">
        <v>158</v>
      </c>
      <c r="E9" s="3" t="str">
        <f>CONCATENATE(Úsporná_opatření[[#This Row],[Sektor]],Úsporná_opatření[[#This Row],[Opatření]])</f>
        <v>SlužbyEnergetický management</v>
      </c>
      <c r="F9" s="4">
        <v>2901.982508816332</v>
      </c>
      <c r="G9" s="11">
        <f>VLOOKUP(Úsporná_opatření[[#This Row],[Opatření podrobně]],Potenciál_opatření!$A$1:$C$191,3,0)</f>
        <v>0.375</v>
      </c>
      <c r="H9" s="13">
        <f>Úsporná_opatření[[#This Row],[Potenciál úspor energie v TJ]]*Úsporná_opatření[[#This Row],[Investice '[Kč/GJ']]]*1000</f>
        <v>133968611.37670718</v>
      </c>
      <c r="I9" s="13">
        <f>Úsporná_opatření[[#This Row],[Podíl dotace '[%']]]*Úsporná_opatření[[#This Row],[Investice]]</f>
        <v>50238229.266265191</v>
      </c>
      <c r="J9" s="3">
        <v>8</v>
      </c>
      <c r="K9" s="12">
        <f>VLOOKUP(Úsporná_opatření[[#This Row],[Opatření podrobně]],Potenciál_opatření!$A$1:$C$191,2,0)</f>
        <v>46.164513731459614</v>
      </c>
      <c r="L9" s="3">
        <v>10</v>
      </c>
      <c r="M9" s="3" t="s">
        <v>15</v>
      </c>
      <c r="N9" s="3" t="s">
        <v>6</v>
      </c>
      <c r="O9" s="4">
        <f>Úsporná_opatření[[#This Row],[Potenciál úspor energie v TJ]]*Úsporná_opatření[[#This Row],[Emisní koeficient CO2 '[kg/GJ']]]</f>
        <v>6071.0271651413623</v>
      </c>
      <c r="P9" s="4">
        <f>Úsporná_opatření[[#This Row],[Potenciál úspor energie v TJ]]*Úsporná_opatření[[#This Row],[Emisní koeficient CH4 '[g/GJ']]]</f>
        <v>270.44728493872583</v>
      </c>
      <c r="Q9" s="4">
        <f>Úsporná_opatření[[#This Row],[Potenciál úspor energie v TJ]]*Úsporná_opatření[[#This Row],[Emisní koeficient N2O '[g/GJ']]]</f>
        <v>75.338098413145971</v>
      </c>
      <c r="R9" s="4">
        <f>Úsporná_opatření[[#This Row],[Potenciál úspor energie v TJ]]*Úsporná_opatření[[#This Row],[Emisní koeficient CO2 eq '[kg/GJ']]]</f>
        <v>6100.239100591948</v>
      </c>
      <c r="S9" s="7">
        <f>VLOOKUP(Úsporná_opatření[[#This Row],[Šetřený nositel energie]] &amp; "#" &amp; Úsporná_opatření[[#This Row],[Nejpodobnější sektor]],Emiskoef,2,FALSE)</f>
        <v>131.50852623417009</v>
      </c>
      <c r="T9" s="7">
        <f>VLOOKUP(Úsporná_opatření[[#This Row],[Šetřený nositel energie]] &amp; "#" &amp; Úsporná_opatření[[#This Row],[Nejpodobnější sektor]],Emiskoef,3,FALSE)</f>
        <v>5.8583371312416705</v>
      </c>
      <c r="U9" s="7">
        <f>VLOOKUP(Úsporná_opatření[[#This Row],[Šetřený nositel energie]] &amp; "#" &amp; Úsporná_opatření[[#This Row],[Nejpodobnější sektor]],Emiskoef,4,FALSE)</f>
        <v>1.6319482720296803</v>
      </c>
      <c r="V9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9" s="4">
        <f>1000*Úsporná_opatření[[#This Row],[Investice '[Kč/GJ']]]/Úsporná_opatření[[#This Row],[Emisní koeficient CO2 eq '[kg/GJ']]]</f>
        <v>21961.206629377411</v>
      </c>
      <c r="X9" s="7" t="s">
        <v>353</v>
      </c>
    </row>
    <row r="10" spans="2:24" x14ac:dyDescent="0.25">
      <c r="B10" s="3" t="s">
        <v>311</v>
      </c>
      <c r="C10" s="3" t="s">
        <v>63</v>
      </c>
      <c r="D10" s="3" t="s">
        <v>159</v>
      </c>
      <c r="E10" s="3" t="str">
        <f>CONCATENATE(Úsporná_opatření[[#This Row],[Sektor]],Úsporná_opatření[[#This Row],[Opatření]])</f>
        <v>veřejná správaEnergetický management</v>
      </c>
      <c r="F10" s="4">
        <v>2901.982508816332</v>
      </c>
      <c r="G10" s="11">
        <f>VLOOKUP(Úsporná_opatření[[#This Row],[Opatření podrobně]],Potenciál_opatření!$A$1:$C$191,3,0)</f>
        <v>0</v>
      </c>
      <c r="H10" s="13">
        <f>Úsporná_opatření[[#This Row],[Potenciál úspor energie v TJ]]*Úsporná_opatření[[#This Row],[Investice '[Kč/GJ']]]*1000</f>
        <v>148562263.62006921</v>
      </c>
      <c r="I10" s="13">
        <f>Úsporná_opatření[[#This Row],[Podíl dotace '[%']]]*Úsporná_opatření[[#This Row],[Investice]]</f>
        <v>0</v>
      </c>
      <c r="J10" s="3">
        <v>8</v>
      </c>
      <c r="K10" s="12">
        <f>VLOOKUP(Úsporná_opatření[[#This Row],[Opatření podrobně]],Potenciál_opatření!$A$1:$C$191,2,0)</f>
        <v>51.193369763164128</v>
      </c>
      <c r="L10" s="3">
        <v>10</v>
      </c>
      <c r="M10" s="3" t="s">
        <v>15</v>
      </c>
      <c r="N10" s="3" t="s">
        <v>8</v>
      </c>
      <c r="O10" s="4">
        <f>Úsporná_opatření[[#This Row],[Potenciál úspor energie v TJ]]*Úsporná_opatření[[#This Row],[Emisní koeficient CO2 '[kg/GJ']]]</f>
        <v>6732.3646105146399</v>
      </c>
      <c r="P10" s="4">
        <f>Úsporná_opatření[[#This Row],[Potenciál úspor energie v TJ]]*Úsporná_opatření[[#This Row],[Emisní koeficient CH4 '[g/GJ']]]</f>
        <v>299.90801895692903</v>
      </c>
      <c r="Q10" s="4">
        <f>Úsporná_opatření[[#This Row],[Potenciál úspor energie v TJ]]*Úsporná_opatření[[#This Row],[Emisní koeficient N2O '[g/GJ']]]</f>
        <v>83.544931324372186</v>
      </c>
      <c r="R10" s="4">
        <f>Úsporná_opatření[[#This Row],[Potenciál úspor energie v TJ]]*Úsporná_opatření[[#This Row],[Emisní koeficient CO2 eq '[kg/GJ']]]</f>
        <v>6764.7587005232263</v>
      </c>
      <c r="S10" s="7">
        <f>VLOOKUP(Úsporná_opatření[[#This Row],[Šetřený nositel energie]] &amp; "#" &amp; Úsporná_opatření[[#This Row],[Nejpodobnější sektor]],Emiskoef,2,FALSE)</f>
        <v>131.50852623417009</v>
      </c>
      <c r="T10" s="7">
        <f>VLOOKUP(Úsporná_opatření[[#This Row],[Šetřený nositel energie]] &amp; "#" &amp; Úsporná_opatření[[#This Row],[Nejpodobnější sektor]],Emiskoef,3,FALSE)</f>
        <v>5.8583371312416705</v>
      </c>
      <c r="U10" s="7">
        <f>VLOOKUP(Úsporná_opatření[[#This Row],[Šetřený nositel energie]] &amp; "#" &amp; Úsporná_opatření[[#This Row],[Nejpodobnější sektor]],Emiskoef,4,FALSE)</f>
        <v>1.6319482720296803</v>
      </c>
      <c r="V10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10" s="4">
        <f>1000*Úsporná_opatření[[#This Row],[Investice '[Kč/GJ']]]/Úsporná_opatření[[#This Row],[Emisní koeficient CO2 eq '[kg/GJ']]]</f>
        <v>21961.206629377411</v>
      </c>
      <c r="X10" s="7" t="s">
        <v>353</v>
      </c>
    </row>
    <row r="11" spans="2:24" x14ac:dyDescent="0.25">
      <c r="B11" s="3" t="s">
        <v>4</v>
      </c>
      <c r="C11" s="3" t="s">
        <v>56</v>
      </c>
      <c r="D11" s="3" t="s">
        <v>90</v>
      </c>
      <c r="E11" s="3" t="str">
        <f>CONCATENATE(Úsporná_opatření[[#This Row],[Sektor]],Úsporná_opatření[[#This Row],[Opatření]])</f>
        <v>PrůmyslInstalace ekonomizéru za kotel</v>
      </c>
      <c r="F11" s="4">
        <v>215.54561636915233</v>
      </c>
      <c r="G11" s="11">
        <f>VLOOKUP(Úsporná_opatření[[#This Row],[Opatření podrobně]],Potenciál_opatření!$A$1:$C$191,3,0)</f>
        <v>0</v>
      </c>
      <c r="H11" s="13">
        <f>Úsporná_opatření[[#This Row],[Potenciál úspor energie v TJ]]*Úsporná_opatření[[#This Row],[Investice '[Kč/GJ']]]*1000</f>
        <v>32194908.944815453</v>
      </c>
      <c r="I11" s="13">
        <f>Úsporná_opatření[[#This Row],[Podíl dotace '[%']]]*Úsporná_opatření[[#This Row],[Investice]]</f>
        <v>0</v>
      </c>
      <c r="J11" s="3">
        <v>0.5</v>
      </c>
      <c r="K11" s="12">
        <f>VLOOKUP(Úsporná_opatření[[#This Row],[Opatření podrobně]],Potenciál_opatření!$A$1:$C$191,2,0)</f>
        <v>149.36471215298167</v>
      </c>
      <c r="L11" s="3">
        <v>20</v>
      </c>
      <c r="M11" s="3" t="s">
        <v>44</v>
      </c>
      <c r="N11" s="3" t="s">
        <v>4</v>
      </c>
      <c r="O11" s="4">
        <f>Úsporná_opatření[[#This Row],[Potenciál úspor energie v TJ]]*Úsporná_opatření[[#This Row],[Emisní koeficient CO2 '[kg/GJ']]]</f>
        <v>9902.7898476676928</v>
      </c>
      <c r="P11" s="4">
        <f>Úsporná_opatření[[#This Row],[Potenciál úspor energie v TJ]]*Úsporná_opatření[[#This Row],[Emisní koeficient CH4 '[g/GJ']]]</f>
        <v>719.59197267331911</v>
      </c>
      <c r="Q11" s="4">
        <f>Úsporná_opatření[[#This Row],[Potenciál úspor energie v TJ]]*Úsporná_opatření[[#This Row],[Emisní koeficient N2O '[g/GJ']]]</f>
        <v>126.22103733944574</v>
      </c>
      <c r="R11" s="4">
        <f>Úsporná_opatření[[#This Row],[Potenciál úspor energie v TJ]]*Úsporná_opatření[[#This Row],[Emisní koeficient CO2 eq '[kg/GJ']]]</f>
        <v>9958.3935161116806</v>
      </c>
      <c r="S11" s="7">
        <f>VLOOKUP(Úsporná_opatření[[#This Row],[Šetřený nositel energie]] &amp; "#" &amp; Úsporná_opatření[[#This Row],[Nejpodobnější sektor]],Emiskoef,2,FALSE)</f>
        <v>66.299393644765985</v>
      </c>
      <c r="T11" s="7">
        <f>VLOOKUP(Úsporná_opatření[[#This Row],[Šetřený nositel energie]] &amp; "#" &amp; Úsporná_opatření[[#This Row],[Nejpodobnější sektor]],Emiskoef,3,FALSE)</f>
        <v>4.8176839248101775</v>
      </c>
      <c r="U11" s="7">
        <f>VLOOKUP(Úsporná_opatření[[#This Row],[Šetřený nositel energie]] &amp; "#" &amp; Úsporná_opatření[[#This Row],[Nejpodobnější sektor]],Emiskoef,4,FALSE)</f>
        <v>0.84505259321337012</v>
      </c>
      <c r="V11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1" s="4">
        <f>1000*Úsporná_opatření[[#This Row],[Investice '[Kč/GJ']]]/Úsporná_opatření[[#This Row],[Emisní koeficient CO2 eq '[kg/GJ']]]</f>
        <v>3232.9420295278874</v>
      </c>
      <c r="X11" s="7" t="s">
        <v>351</v>
      </c>
    </row>
    <row r="12" spans="2:24" x14ac:dyDescent="0.25">
      <c r="B12" s="3" t="s">
        <v>4</v>
      </c>
      <c r="C12" s="3" t="s">
        <v>56</v>
      </c>
      <c r="D12" s="3" t="s">
        <v>91</v>
      </c>
      <c r="E12" s="3" t="str">
        <f>CONCATENATE(Úsporná_opatření[[#This Row],[Sektor]],Úsporná_opatření[[#This Row],[Opatření]])</f>
        <v>PrůmyslInstalace ekonomizéru za kotel</v>
      </c>
      <c r="F12" s="4">
        <v>310.4316713262113</v>
      </c>
      <c r="G12" s="11">
        <f>VLOOKUP(Úsporná_opatření[[#This Row],[Opatření podrobně]],Potenciál_opatření!$A$1:$C$191,3,0)</f>
        <v>0</v>
      </c>
      <c r="H12" s="13">
        <f>Úsporná_opatření[[#This Row],[Potenciál úspor energie v TJ]]*Úsporná_opatření[[#This Row],[Investice '[Kč/GJ']]]*1000</f>
        <v>170014303.17963141</v>
      </c>
      <c r="I12" s="13">
        <f>Úsporná_opatření[[#This Row],[Podíl dotace '[%']]]*Úsporná_opatření[[#This Row],[Investice]]</f>
        <v>0</v>
      </c>
      <c r="J12" s="3">
        <v>1</v>
      </c>
      <c r="K12" s="12">
        <f>VLOOKUP(Úsporná_opatření[[#This Row],[Opatření podrobně]],Potenciál_opatření!$A$1:$C$191,2,0)</f>
        <v>547.67061122759947</v>
      </c>
      <c r="L12" s="3">
        <v>20</v>
      </c>
      <c r="M12" s="3" t="s">
        <v>44</v>
      </c>
      <c r="N12" s="3" t="s">
        <v>4</v>
      </c>
      <c r="O12" s="4">
        <f>Úsporná_opatření[[#This Row],[Potenciál úspor energie v TJ]]*Úsporná_opatření[[#This Row],[Emisní koeficient CO2 '[kg/GJ']]]</f>
        <v>36310.229441448209</v>
      </c>
      <c r="P12" s="4">
        <f>Úsporná_opatření[[#This Row],[Potenciál úspor energie v TJ]]*Úsporná_opatření[[#This Row],[Emisní koeficient CH4 '[g/GJ']]]</f>
        <v>2638.5038998021701</v>
      </c>
      <c r="Q12" s="4">
        <f>Úsporná_opatření[[#This Row],[Potenciál úspor energie v TJ]]*Úsporná_opatření[[#This Row],[Emisní koeficient N2O '[g/GJ']]]</f>
        <v>462.81047024463436</v>
      </c>
      <c r="R12" s="4">
        <f>Úsporná_opatření[[#This Row],[Potenciál úspor energie v TJ]]*Úsporná_opatření[[#This Row],[Emisní koeficient CO2 eq '[kg/GJ']]]</f>
        <v>36514.109559076162</v>
      </c>
      <c r="S12" s="7">
        <f>VLOOKUP(Úsporná_opatření[[#This Row],[Šetřený nositel energie]] &amp; "#" &amp; Úsporná_opatření[[#This Row],[Nejpodobnější sektor]],Emiskoef,2,FALSE)</f>
        <v>66.299393644765985</v>
      </c>
      <c r="T12" s="7">
        <f>VLOOKUP(Úsporná_opatření[[#This Row],[Šetřený nositel energie]] &amp; "#" &amp; Úsporná_opatření[[#This Row],[Nejpodobnější sektor]],Emiskoef,3,FALSE)</f>
        <v>4.8176839248101775</v>
      </c>
      <c r="U12" s="7">
        <f>VLOOKUP(Úsporná_opatření[[#This Row],[Šetřený nositel energie]] &amp; "#" &amp; Úsporná_opatření[[#This Row],[Nejpodobnější sektor]],Emiskoef,4,FALSE)</f>
        <v>0.84505259321337012</v>
      </c>
      <c r="V12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2" s="4">
        <f>1000*Úsporná_opatření[[#This Row],[Investice '[Kč/GJ']]]/Úsporná_opatření[[#This Row],[Emisní koeficient CO2 eq '[kg/GJ']]]</f>
        <v>4656.1262271661135</v>
      </c>
      <c r="X12" s="7" t="s">
        <v>352</v>
      </c>
    </row>
    <row r="13" spans="2:24" x14ac:dyDescent="0.25">
      <c r="B13" s="3" t="s">
        <v>42</v>
      </c>
      <c r="C13" s="3" t="s">
        <v>56</v>
      </c>
      <c r="D13" s="3" t="s">
        <v>92</v>
      </c>
      <c r="E13" s="3" t="str">
        <f>CONCATENATE(Úsporná_opatření[[#This Row],[Sektor]],Úsporná_opatření[[#This Row],[Opatření]])</f>
        <v>ZemědělstvíInstalace ekonomizéru za kotel</v>
      </c>
      <c r="F13" s="4">
        <v>387.16520708744514</v>
      </c>
      <c r="G13" s="11">
        <f>VLOOKUP(Úsporná_opatření[[#This Row],[Opatření podrobně]],Potenciál_opatření!$A$1:$C$191,3,0)</f>
        <v>0</v>
      </c>
      <c r="H13" s="13">
        <f>Úsporná_opatření[[#This Row],[Potenciál úspor energie v TJ]]*Úsporná_opatření[[#This Row],[Investice '[Kč/GJ']]]*1000</f>
        <v>932581.4411916883</v>
      </c>
      <c r="I13" s="13">
        <f>Úsporná_opatření[[#This Row],[Podíl dotace '[%']]]*Úsporná_opatření[[#This Row],[Investice]]</f>
        <v>0</v>
      </c>
      <c r="J13" s="3">
        <v>0.5</v>
      </c>
      <c r="K13" s="12">
        <f>VLOOKUP(Úsporná_opatření[[#This Row],[Opatření podrobně]],Potenciál_opatření!$A$1:$C$191,2,0)</f>
        <v>2.4087428935241473</v>
      </c>
      <c r="L13" s="3">
        <v>20</v>
      </c>
      <c r="M13" s="3" t="s">
        <v>44</v>
      </c>
      <c r="N13" s="3" t="s">
        <v>4</v>
      </c>
      <c r="O13" s="4">
        <f>Úsporná_opatření[[#This Row],[Potenciál úspor energie v TJ]]*Úsporná_opatření[[#This Row],[Emisní koeficient CO2 '[kg/GJ']]]</f>
        <v>159.69819328679009</v>
      </c>
      <c r="P13" s="4">
        <f>Úsporná_opatření[[#This Row],[Potenciál úspor energie v TJ]]*Úsporná_opatření[[#This Row],[Emisní koeficient CH4 '[g/GJ']]]</f>
        <v>11.604561917132036</v>
      </c>
      <c r="Q13" s="4">
        <f>Úsporná_opatření[[#This Row],[Potenciál úspor energie v TJ]]*Úsporná_opatření[[#This Row],[Emisní koeficient N2O '[g/GJ']]]</f>
        <v>2.0355144285568572</v>
      </c>
      <c r="R13" s="4">
        <f>Úsporná_opatření[[#This Row],[Potenciál úspor energie v TJ]]*Úsporná_opatření[[#This Row],[Emisní koeficient CO2 eq '[kg/GJ']]]</f>
        <v>160.59489063442831</v>
      </c>
      <c r="S13" s="7">
        <f>VLOOKUP(Úsporná_opatření[[#This Row],[Šetřený nositel energie]] &amp; "#" &amp; Úsporná_opatření[[#This Row],[Nejpodobnější sektor]],Emiskoef,2,FALSE)</f>
        <v>66.299393644765985</v>
      </c>
      <c r="T13" s="7">
        <f>VLOOKUP(Úsporná_opatření[[#This Row],[Šetřený nositel energie]] &amp; "#" &amp; Úsporná_opatření[[#This Row],[Nejpodobnější sektor]],Emiskoef,3,FALSE)</f>
        <v>4.8176839248101775</v>
      </c>
      <c r="U13" s="7">
        <f>VLOOKUP(Úsporná_opatření[[#This Row],[Šetřený nositel energie]] &amp; "#" &amp; Úsporná_opatření[[#This Row],[Nejpodobnější sektor]],Emiskoef,4,FALSE)</f>
        <v>0.84505259321337012</v>
      </c>
      <c r="V13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3" s="4">
        <f>1000*Úsporná_opatření[[#This Row],[Investice '[Kč/GJ']]]/Úsporná_opatření[[#This Row],[Emisní koeficient CO2 eq '[kg/GJ']]]</f>
        <v>5807.0430354760092</v>
      </c>
      <c r="X13" s="7" t="s">
        <v>351</v>
      </c>
    </row>
    <row r="14" spans="2:24" x14ac:dyDescent="0.25">
      <c r="B14" s="3" t="s">
        <v>4</v>
      </c>
      <c r="C14" s="3" t="s">
        <v>56</v>
      </c>
      <c r="D14" s="3" t="s">
        <v>93</v>
      </c>
      <c r="E14" s="3" t="str">
        <f>CONCATENATE(Úsporná_opatření[[#This Row],[Sektor]],Úsporná_opatření[[#This Row],[Opatření]])</f>
        <v>PrůmyslInstalace ekonomizéru za kotel</v>
      </c>
      <c r="F14" s="4">
        <v>393.10186813797191</v>
      </c>
      <c r="G14" s="11">
        <f>VLOOKUP(Úsporná_opatření[[#This Row],[Opatření podrobně]],Potenciál_opatření!$A$1:$C$191,3,0)</f>
        <v>0</v>
      </c>
      <c r="H14" s="13">
        <f>Úsporná_opatření[[#This Row],[Potenciál úspor energie v TJ]]*Úsporná_opatření[[#This Row],[Investice '[Kč/GJ']]]*1000</f>
        <v>117431094.76245506</v>
      </c>
      <c r="I14" s="13">
        <f>Úsporná_opatření[[#This Row],[Podíl dotace '[%']]]*Úsporná_opatření[[#This Row],[Investice]]</f>
        <v>0</v>
      </c>
      <c r="J14" s="3">
        <v>3</v>
      </c>
      <c r="K14" s="12">
        <f>VLOOKUP(Úsporná_opatření[[#This Row],[Opatření podrobně]],Potenciál_opatření!$A$1:$C$191,2,0)</f>
        <v>298.72942430596333</v>
      </c>
      <c r="L14" s="3">
        <v>20</v>
      </c>
      <c r="M14" s="3" t="s">
        <v>44</v>
      </c>
      <c r="N14" s="3" t="s">
        <v>4</v>
      </c>
      <c r="O14" s="4">
        <f>Úsporná_opatření[[#This Row],[Potenciál úspor energie v TJ]]*Úsporná_opatření[[#This Row],[Emisní koeficient CO2 '[kg/GJ']]]</f>
        <v>19805.579695335386</v>
      </c>
      <c r="P14" s="4">
        <f>Úsporná_opatření[[#This Row],[Potenciál úspor energie v TJ]]*Úsporná_opatření[[#This Row],[Emisní koeficient CH4 '[g/GJ']]]</f>
        <v>1439.1839453466382</v>
      </c>
      <c r="Q14" s="4">
        <f>Úsporná_opatření[[#This Row],[Potenciál úspor energie v TJ]]*Úsporná_opatření[[#This Row],[Emisní koeficient N2O '[g/GJ']]]</f>
        <v>252.44207467889149</v>
      </c>
      <c r="R14" s="4">
        <f>Úsporná_opatření[[#This Row],[Potenciál úspor energie v TJ]]*Úsporná_opatření[[#This Row],[Emisní koeficient CO2 eq '[kg/GJ']]]</f>
        <v>19916.787032223361</v>
      </c>
      <c r="S14" s="7">
        <f>VLOOKUP(Úsporná_opatření[[#This Row],[Šetřený nositel energie]] &amp; "#" &amp; Úsporná_opatření[[#This Row],[Nejpodobnější sektor]],Emiskoef,2,FALSE)</f>
        <v>66.299393644765985</v>
      </c>
      <c r="T14" s="7">
        <f>VLOOKUP(Úsporná_opatření[[#This Row],[Šetřený nositel energie]] &amp; "#" &amp; Úsporná_opatření[[#This Row],[Nejpodobnější sektor]],Emiskoef,3,FALSE)</f>
        <v>4.8176839248101775</v>
      </c>
      <c r="U14" s="7">
        <f>VLOOKUP(Úsporná_opatření[[#This Row],[Šetřený nositel energie]] &amp; "#" &amp; Úsporná_opatření[[#This Row],[Nejpodobnější sektor]],Emiskoef,4,FALSE)</f>
        <v>0.84505259321337012</v>
      </c>
      <c r="V14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4" s="4">
        <f>1000*Úsporná_opatření[[#This Row],[Investice '[Kč/GJ']]]/Úsporná_opatření[[#This Row],[Emisní koeficient CO2 eq '[kg/GJ']]]</f>
        <v>5896.0862800040659</v>
      </c>
      <c r="X14" s="7" t="s">
        <v>353</v>
      </c>
    </row>
    <row r="15" spans="2:24" x14ac:dyDescent="0.25">
      <c r="B15" s="3" t="s">
        <v>42</v>
      </c>
      <c r="C15" s="3" t="s">
        <v>56</v>
      </c>
      <c r="D15" s="3" t="s">
        <v>94</v>
      </c>
      <c r="E15" s="3" t="str">
        <f>CONCATENATE(Úsporná_opatření[[#This Row],[Sektor]],Úsporná_opatření[[#This Row],[Opatření]])</f>
        <v>ZemědělstvíInstalace ekonomizéru za kotel</v>
      </c>
      <c r="F15" s="4">
        <v>430.96305778981531</v>
      </c>
      <c r="G15" s="11">
        <f>VLOOKUP(Úsporná_opatření[[#This Row],[Opatření podrobně]],Potenciál_opatření!$A$1:$C$191,3,0)</f>
        <v>0</v>
      </c>
      <c r="H15" s="13">
        <f>Úsporná_opatření[[#This Row],[Potenciál úspor energie v TJ]]*Úsporná_opatření[[#This Row],[Investice '[Kč/GJ']]]*1000</f>
        <v>3806290.4103497323</v>
      </c>
      <c r="I15" s="13">
        <f>Úsporná_opatření[[#This Row],[Podíl dotace '[%']]]*Úsporná_opatření[[#This Row],[Investice]]</f>
        <v>0</v>
      </c>
      <c r="J15" s="3">
        <v>1</v>
      </c>
      <c r="K15" s="12">
        <f>VLOOKUP(Úsporná_opatření[[#This Row],[Opatření podrobně]],Potenciál_opatření!$A$1:$C$191,2,0)</f>
        <v>8.8320572762552079</v>
      </c>
      <c r="L15" s="3">
        <v>20</v>
      </c>
      <c r="M15" s="3" t="s">
        <v>44</v>
      </c>
      <c r="N15" s="3" t="s">
        <v>4</v>
      </c>
      <c r="O15" s="4">
        <f>Úsporná_opatření[[#This Row],[Potenciál úspor energie v TJ]]*Úsporná_opatření[[#This Row],[Emisní koeficient CO2 '[kg/GJ']]]</f>
        <v>585.56004205156376</v>
      </c>
      <c r="P15" s="4">
        <f>Úsporná_opatření[[#This Row],[Potenciál úspor energie v TJ]]*Úsporná_opatření[[#This Row],[Emisní koeficient CH4 '[g/GJ']]]</f>
        <v>42.550060362817476</v>
      </c>
      <c r="Q15" s="4">
        <f>Úsporná_opatření[[#This Row],[Potenciál úspor energie v TJ]]*Úsporná_opatření[[#This Row],[Emisní koeficient N2O '[g/GJ']]]</f>
        <v>7.4635529047084779</v>
      </c>
      <c r="R15" s="4">
        <f>Úsporná_opatření[[#This Row],[Potenciál úspor energie v TJ]]*Úsporná_opatření[[#This Row],[Emisní koeficient CO2 eq '[kg/GJ']]]</f>
        <v>588.84793232623724</v>
      </c>
      <c r="S15" s="7">
        <f>VLOOKUP(Úsporná_opatření[[#This Row],[Šetřený nositel energie]] &amp; "#" &amp; Úsporná_opatření[[#This Row],[Nejpodobnější sektor]],Emiskoef,2,FALSE)</f>
        <v>66.299393644765985</v>
      </c>
      <c r="T15" s="7">
        <f>VLOOKUP(Úsporná_opatření[[#This Row],[Šetřený nositel energie]] &amp; "#" &amp; Úsporná_opatření[[#This Row],[Nejpodobnější sektor]],Emiskoef,3,FALSE)</f>
        <v>4.8176839248101775</v>
      </c>
      <c r="U15" s="7">
        <f>VLOOKUP(Úsporná_opatření[[#This Row],[Šetřený nositel energie]] &amp; "#" &amp; Úsporná_opatření[[#This Row],[Nejpodobnější sektor]],Emiskoef,4,FALSE)</f>
        <v>0.84505259321337012</v>
      </c>
      <c r="V15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5" s="4">
        <f>1000*Úsporná_opatření[[#This Row],[Investice '[Kč/GJ']]]/Úsporná_opatření[[#This Row],[Emisní koeficient CO2 eq '[kg/GJ']]]</f>
        <v>6463.9615788630244</v>
      </c>
      <c r="X15" s="7" t="s">
        <v>352</v>
      </c>
    </row>
    <row r="16" spans="2:24" x14ac:dyDescent="0.25">
      <c r="B16" s="3" t="s">
        <v>42</v>
      </c>
      <c r="C16" s="3" t="s">
        <v>56</v>
      </c>
      <c r="D16" s="3" t="s">
        <v>96</v>
      </c>
      <c r="E16" s="3" t="str">
        <f>CONCATENATE(Úsporná_opatření[[#This Row],[Sektor]],Úsporná_opatření[[#This Row],[Opatření]])</f>
        <v>ZemědělstvíInstalace ekonomizéru za kotel</v>
      </c>
      <c r="F16" s="4">
        <v>601.22025407522801</v>
      </c>
      <c r="G16" s="11">
        <f>VLOOKUP(Úsporná_opatření[[#This Row],[Opatření podrobně]],Potenciál_opatření!$A$1:$C$191,3,0)</f>
        <v>0</v>
      </c>
      <c r="H16" s="13">
        <f>Úsporná_opatření[[#This Row],[Potenciál úspor energie v TJ]]*Úsporná_opatření[[#This Row],[Investice '[Kč/GJ']]]*1000</f>
        <v>2896370.0288929753</v>
      </c>
      <c r="I16" s="13">
        <f>Úsporná_opatření[[#This Row],[Podíl dotace '[%']]]*Úsporná_opatření[[#This Row],[Investice]]</f>
        <v>0</v>
      </c>
      <c r="J16" s="3">
        <v>3</v>
      </c>
      <c r="K16" s="12">
        <f>VLOOKUP(Úsporná_opatření[[#This Row],[Opatření podrobně]],Potenciál_opatření!$A$1:$C$191,2,0)</f>
        <v>4.8174857870482946</v>
      </c>
      <c r="L16" s="3">
        <v>20</v>
      </c>
      <c r="M16" s="3" t="s">
        <v>44</v>
      </c>
      <c r="N16" s="3" t="s">
        <v>4</v>
      </c>
      <c r="O16" s="4">
        <f>Úsporná_opatření[[#This Row],[Potenciál úspor energie v TJ]]*Úsporná_opatření[[#This Row],[Emisní koeficient CO2 '[kg/GJ']]]</f>
        <v>319.39638657358017</v>
      </c>
      <c r="P16" s="4">
        <f>Úsporná_opatření[[#This Row],[Potenciál úspor energie v TJ]]*Úsporná_opatření[[#This Row],[Emisní koeficient CH4 '[g/GJ']]]</f>
        <v>23.209123834264073</v>
      </c>
      <c r="Q16" s="4">
        <f>Úsporná_opatření[[#This Row],[Potenciál úspor energie v TJ]]*Úsporná_opatření[[#This Row],[Emisní koeficient N2O '[g/GJ']]]</f>
        <v>4.0710288571137143</v>
      </c>
      <c r="R16" s="4">
        <f>Úsporná_opatření[[#This Row],[Potenciál úspor energie v TJ]]*Úsporná_opatření[[#This Row],[Emisní koeficient CO2 eq '[kg/GJ']]]</f>
        <v>321.18978126885662</v>
      </c>
      <c r="S16" s="7">
        <f>VLOOKUP(Úsporná_opatření[[#This Row],[Šetřený nositel energie]] &amp; "#" &amp; Úsporná_opatření[[#This Row],[Nejpodobnější sektor]],Emiskoef,2,FALSE)</f>
        <v>66.299393644765985</v>
      </c>
      <c r="T16" s="7">
        <f>VLOOKUP(Úsporná_opatření[[#This Row],[Šetřený nositel energie]] &amp; "#" &amp; Úsporná_opatření[[#This Row],[Nejpodobnější sektor]],Emiskoef,3,FALSE)</f>
        <v>4.8176839248101775</v>
      </c>
      <c r="U16" s="7">
        <f>VLOOKUP(Úsporná_opatření[[#This Row],[Šetřený nositel energie]] &amp; "#" &amp; Úsporná_opatření[[#This Row],[Nejpodobnější sektor]],Emiskoef,4,FALSE)</f>
        <v>0.84505259321337012</v>
      </c>
      <c r="V16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6" s="4">
        <f>1000*Úsporná_opatření[[#This Row],[Investice '[Kč/GJ']]]/Úsporná_opatření[[#This Row],[Emisní koeficient CO2 eq '[kg/GJ']]]</f>
        <v>9017.6281992873428</v>
      </c>
      <c r="X16" s="7" t="s">
        <v>353</v>
      </c>
    </row>
    <row r="17" spans="2:24" x14ac:dyDescent="0.25">
      <c r="B17" s="3" t="s">
        <v>311</v>
      </c>
      <c r="C17" s="3" t="s">
        <v>3</v>
      </c>
      <c r="D17" s="3" t="s">
        <v>3</v>
      </c>
      <c r="E17" s="3" t="str">
        <f>CONCATENATE(Úsporná_opatření[[#This Row],[Sektor]],Úsporná_opatření[[#This Row],[Opatření]])</f>
        <v>veřejná správaInstalace kotle na biomasu</v>
      </c>
      <c r="F17" s="4">
        <v>4500</v>
      </c>
      <c r="G17" s="11">
        <v>0.15</v>
      </c>
      <c r="H17" s="16">
        <f>Úsporná_opatření[[#This Row],[Potenciál úspor energie v TJ]]*Úsporná_opatření[[#This Row],[Investice '[Kč/GJ']]]*1000</f>
        <v>7200000000</v>
      </c>
      <c r="I17" s="16">
        <f>Úsporná_opatření[[#This Row],[Podíl dotace '[%']]]*Úsporná_opatření[[#This Row],[Investice]]</f>
        <v>1080000000</v>
      </c>
      <c r="J17" s="3">
        <v>12</v>
      </c>
      <c r="K17" s="12">
        <v>1600</v>
      </c>
      <c r="L17" s="3">
        <v>20</v>
      </c>
      <c r="M17" s="3" t="s">
        <v>44</v>
      </c>
      <c r="N17" s="3" t="s">
        <v>6</v>
      </c>
      <c r="O17" s="4">
        <f>Úsporná_opatření[[#This Row],[Potenciál úspor energie v TJ]]*Úsporná_opatření[[#This Row],[Emisní koeficient CO2 '[kg/GJ']]]</f>
        <v>122129.79448132597</v>
      </c>
      <c r="P17" s="4">
        <f>Úsporná_opatření[[#This Row],[Potenciál úspor energie v TJ]]*Úsporná_opatření[[#This Row],[Emisní koeficient CH4 '[g/GJ']]]</f>
        <v>11970.226517897887</v>
      </c>
      <c r="Q17" s="4">
        <f>Úsporná_opatření[[#This Row],[Potenciál úspor energie v TJ]]*Úsporná_opatření[[#This Row],[Emisní koeficient N2O '[g/GJ']]]</f>
        <v>1204.3325084913627</v>
      </c>
      <c r="R17" s="4">
        <f>Úsporná_opatření[[#This Row],[Potenciál úspor energie v TJ]]*Úsporná_opatření[[#This Row],[Emisní koeficient CO2 eq '[kg/GJ']]]</f>
        <v>122787.94123180382</v>
      </c>
      <c r="S17" s="7">
        <f>VLOOKUP(Úsporná_opatření[[#This Row],[Šetřený nositel energie]] &amp; "#" &amp; Úsporná_opatření[[#This Row],[Nejpodobnější sektor]],Emiskoef,2,FALSE)</f>
        <v>76.331121550828726</v>
      </c>
      <c r="T17" s="7">
        <f>VLOOKUP(Úsporná_opatření[[#This Row],[Šetřený nositel energie]] &amp; "#" &amp; Úsporná_opatření[[#This Row],[Nejpodobnější sektor]],Emiskoef,3,FALSE)</f>
        <v>7.4813915736861789</v>
      </c>
      <c r="U17" s="7">
        <f>VLOOKUP(Úsporná_opatření[[#This Row],[Šetřený nositel energie]] &amp; "#" &amp; Úsporná_opatření[[#This Row],[Nejpodobnější sektor]],Emiskoef,4,FALSE)</f>
        <v>0.75270781780710172</v>
      </c>
      <c r="V17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7" s="4">
        <f>1000*Úsporná_opatření[[#This Row],[Investice '[Kč/GJ']]]/Úsporná_opatření[[#This Row],[Emisní koeficient CO2 eq '[kg/GJ']]]</f>
        <v>58637.679952688202</v>
      </c>
      <c r="X17" s="7" t="s">
        <v>352</v>
      </c>
    </row>
    <row r="18" spans="2:24" x14ac:dyDescent="0.25">
      <c r="B18" s="3" t="s">
        <v>311</v>
      </c>
      <c r="C18" s="3" t="s">
        <v>3</v>
      </c>
      <c r="D18" s="3" t="s">
        <v>3</v>
      </c>
      <c r="E18" s="3" t="str">
        <f>CONCATENATE(Úsporná_opatření[[#This Row],[Sektor]],Úsporná_opatření[[#This Row],[Opatření]])</f>
        <v>veřejná správaInstalace kotle na biomasu</v>
      </c>
      <c r="F18" s="4">
        <v>5000</v>
      </c>
      <c r="G18" s="11">
        <v>0.35</v>
      </c>
      <c r="H18" s="16">
        <f>Úsporná_opatření[[#This Row],[Potenciál úspor energie v TJ]]*Úsporná_opatření[[#This Row],[Investice '[Kč/GJ']]]*1000</f>
        <v>9000000000</v>
      </c>
      <c r="I18" s="16">
        <f>Úsporná_opatření[[#This Row],[Podíl dotace '[%']]]*Úsporná_opatření[[#This Row],[Investice]]</f>
        <v>3150000000</v>
      </c>
      <c r="J18" s="3">
        <v>12</v>
      </c>
      <c r="K18" s="12">
        <v>1800</v>
      </c>
      <c r="L18" s="3">
        <v>20</v>
      </c>
      <c r="M18" s="3" t="s">
        <v>281</v>
      </c>
      <c r="N18" s="3" t="s">
        <v>6</v>
      </c>
      <c r="O18" s="4">
        <f>Úsporná_opatření[[#This Row],[Potenciál úspor energie v TJ]]*Úsporná_opatření[[#This Row],[Emisní koeficient CO2 '[kg/GJ']]]</f>
        <v>177546.82005255515</v>
      </c>
      <c r="P18" s="4">
        <f>Úsporná_opatření[[#This Row],[Potenciál úspor energie v TJ]]*Úsporná_opatření[[#This Row],[Emisní koeficient CH4 '[g/GJ']]]</f>
        <v>18000</v>
      </c>
      <c r="Q18" s="4">
        <f>Úsporná_opatření[[#This Row],[Potenciál úspor energie v TJ]]*Úsporná_opatření[[#This Row],[Emisní koeficient N2O '[g/GJ']]]</f>
        <v>2700</v>
      </c>
      <c r="R18" s="4">
        <f>Úsporná_opatření[[#This Row],[Potenciál úspor energie v TJ]]*Úsporná_opatření[[#This Row],[Emisní koeficient CO2 eq '[kg/GJ']]]</f>
        <v>178801.42005255516</v>
      </c>
      <c r="S18" s="7">
        <f>VLOOKUP(Úsporná_opatření[[#This Row],[Šetřený nositel energie]] &amp; "#" &amp; Úsporná_opatření[[#This Row],[Nejpodobnější sektor]],Emiskoef,2,FALSE)</f>
        <v>98.637122251419527</v>
      </c>
      <c r="T18" s="7">
        <f>VLOOKUP(Úsporná_opatření[[#This Row],[Šetřený nositel energie]] &amp; "#" &amp; Úsporná_opatření[[#This Row],[Nejpodobnější sektor]],Emiskoef,3,FALSE)</f>
        <v>10</v>
      </c>
      <c r="U18" s="7">
        <f>VLOOKUP(Úsporná_opatření[[#This Row],[Šetřený nositel energie]] &amp; "#" &amp; Úsporná_opatření[[#This Row],[Nejpodobnější sektor]],Emiskoef,4,FALSE)</f>
        <v>1.5</v>
      </c>
      <c r="V18" s="7">
        <f>Úsporná_opatření[[#This Row],[Emisní koeficient CO2 '[kg/GJ']]]+0.025*Úsporná_opatření[[#This Row],[Emisní koeficient CH4 '[g/GJ']]]+0.298*Úsporná_opatření[[#This Row],[Emisní koeficient N2O '[g/GJ']]]</f>
        <v>99.334122251419529</v>
      </c>
      <c r="W18" s="4">
        <f>1000*Úsporná_opatření[[#This Row],[Investice '[Kč/GJ']]]/Úsporná_opatření[[#This Row],[Emisní koeficient CO2 eq '[kg/GJ']]]</f>
        <v>50335.170701410687</v>
      </c>
      <c r="X18" s="7" t="s">
        <v>352</v>
      </c>
    </row>
    <row r="19" spans="2:24" x14ac:dyDescent="0.25">
      <c r="B19" s="3" t="s">
        <v>7</v>
      </c>
      <c r="C19" s="3" t="s">
        <v>3</v>
      </c>
      <c r="D19" s="3" t="s">
        <v>3</v>
      </c>
      <c r="E19" s="3" t="str">
        <f>CONCATENATE(Úsporná_opatření[[#This Row],[Sektor]],Úsporná_opatření[[#This Row],[Opatření]])</f>
        <v>DomácnostiInstalace kotle na biomasu</v>
      </c>
      <c r="F19" s="4">
        <v>3500</v>
      </c>
      <c r="G19" s="11">
        <v>0.4</v>
      </c>
      <c r="H19" s="20">
        <f>Úsporná_opatření[[#This Row],[Potenciál úspor energie v TJ]]*Úsporná_opatření[[#This Row],[Investice '[Kč/GJ']]]*1000</f>
        <v>5250000000</v>
      </c>
      <c r="I19" s="20">
        <f>Úsporná_opatření[[#This Row],[Podíl dotace '[%']]]*Úsporná_opatření[[#This Row],[Investice]]</f>
        <v>2100000000</v>
      </c>
      <c r="J19" s="3">
        <v>20</v>
      </c>
      <c r="K19" s="12">
        <v>1500</v>
      </c>
      <c r="L19" s="3">
        <v>20</v>
      </c>
      <c r="M19" s="3" t="s">
        <v>281</v>
      </c>
      <c r="N19" s="3" t="s">
        <v>7</v>
      </c>
      <c r="O19" s="4">
        <f>Úsporná_opatření[[#This Row],[Potenciál úspor energie v TJ]]*Úsporná_opatření[[#This Row],[Emisní koeficient CO2 '[kg/GJ']]]</f>
        <v>144947.76534870881</v>
      </c>
      <c r="P19" s="4">
        <f>Úsporná_opatření[[#This Row],[Potenciál úspor energie v TJ]]*Úsporná_opatření[[#This Row],[Emisní koeficient CH4 '[g/GJ']]]</f>
        <v>449999.99999999994</v>
      </c>
      <c r="Q19" s="4">
        <f>Úsporná_opatření[[#This Row],[Potenciál úspor energie v TJ]]*Úsporná_opatření[[#This Row],[Emisní koeficient N2O '[g/GJ']]]</f>
        <v>2250</v>
      </c>
      <c r="R19" s="4">
        <f>Úsporná_opatření[[#This Row],[Potenciál úspor energie v TJ]]*Úsporná_opatření[[#This Row],[Emisní koeficient CO2 eq '[kg/GJ']]]</f>
        <v>156868.26534870881</v>
      </c>
      <c r="S19" s="7">
        <f>VLOOKUP(Úsporná_opatření[[#This Row],[Šetřený nositel energie]] &amp; "#" &amp; Úsporná_opatření[[#This Row],[Nejpodobnější sektor]],Emiskoef,2,FALSE)</f>
        <v>96.63184356580588</v>
      </c>
      <c r="T19" s="7">
        <f>VLOOKUP(Úsporná_opatření[[#This Row],[Šetřený nositel energie]] &amp; "#" &amp; Úsporná_opatření[[#This Row],[Nejpodobnější sektor]],Emiskoef,3,FALSE)</f>
        <v>299.99999999999994</v>
      </c>
      <c r="U19" s="7">
        <f>VLOOKUP(Úsporná_opatření[[#This Row],[Šetřený nositel energie]] &amp; "#" &amp; Úsporná_opatření[[#This Row],[Nejpodobnější sektor]],Emiskoef,4,FALSE)</f>
        <v>1.5</v>
      </c>
      <c r="V19" s="7">
        <f>Úsporná_opatření[[#This Row],[Emisní koeficient CO2 '[kg/GJ']]]+0.025*Úsporná_opatření[[#This Row],[Emisní koeficient CH4 '[g/GJ']]]+0.298*Úsporná_opatření[[#This Row],[Emisní koeficient N2O '[g/GJ']]]</f>
        <v>104.57884356580588</v>
      </c>
      <c r="W19" s="4">
        <f>1000*Úsporná_opatření[[#This Row],[Investice '[Kč/GJ']]]/Úsporná_opatření[[#This Row],[Emisní koeficient CO2 eq '[kg/GJ']]]</f>
        <v>33467.572222651674</v>
      </c>
      <c r="X19" s="7" t="s">
        <v>352</v>
      </c>
    </row>
    <row r="20" spans="2:24" x14ac:dyDescent="0.25">
      <c r="B20" s="3" t="s">
        <v>7</v>
      </c>
      <c r="C20" s="3" t="s">
        <v>3</v>
      </c>
      <c r="D20" s="3" t="s">
        <v>3</v>
      </c>
      <c r="E20" s="3" t="str">
        <f>CONCATENATE(Úsporná_opatření[[#This Row],[Sektor]],Úsporná_opatření[[#This Row],[Opatření]])</f>
        <v>DomácnostiInstalace kotle na biomasu</v>
      </c>
      <c r="F20" s="4">
        <v>5000</v>
      </c>
      <c r="G20" s="11">
        <v>0.8</v>
      </c>
      <c r="H20" s="20">
        <f>Úsporná_opatření[[#This Row],[Potenciál úspor energie v TJ]]*Úsporná_opatření[[#This Row],[Investice '[Kč/GJ']]]*1000</f>
        <v>12500000000</v>
      </c>
      <c r="I20" s="20">
        <f>Úsporná_opatření[[#This Row],[Podíl dotace '[%']]]*Úsporná_opatření[[#This Row],[Investice]]</f>
        <v>10000000000</v>
      </c>
      <c r="J20" s="3">
        <v>20</v>
      </c>
      <c r="K20" s="12">
        <v>2500</v>
      </c>
      <c r="L20" s="3">
        <v>20</v>
      </c>
      <c r="M20" s="3" t="s">
        <v>281</v>
      </c>
      <c r="N20" s="3" t="s">
        <v>7</v>
      </c>
      <c r="O20" s="4">
        <f>Úsporná_opatření[[#This Row],[Potenciál úspor energie v TJ]]*Úsporná_opatření[[#This Row],[Emisní koeficient CO2 '[kg/GJ']]]</f>
        <v>241579.60891451471</v>
      </c>
      <c r="P20" s="4">
        <f>Úsporná_opatření[[#This Row],[Potenciál úspor energie v TJ]]*Úsporná_opatření[[#This Row],[Emisní koeficient CH4 '[g/GJ']]]</f>
        <v>749999.99999999988</v>
      </c>
      <c r="Q20" s="4">
        <f>Úsporná_opatření[[#This Row],[Potenciál úspor energie v TJ]]*Úsporná_opatření[[#This Row],[Emisní koeficient N2O '[g/GJ']]]</f>
        <v>3750</v>
      </c>
      <c r="R20" s="4">
        <f>Úsporná_opatření[[#This Row],[Potenciál úspor energie v TJ]]*Úsporná_opatření[[#This Row],[Emisní koeficient CO2 eq '[kg/GJ']]]</f>
        <v>261447.10891451471</v>
      </c>
      <c r="S20" s="7">
        <f>VLOOKUP(Úsporná_opatření[[#This Row],[Šetřený nositel energie]] &amp; "#" &amp; Úsporná_opatření[[#This Row],[Nejpodobnější sektor]],Emiskoef,2,FALSE)</f>
        <v>96.63184356580588</v>
      </c>
      <c r="T20" s="7">
        <f>VLOOKUP(Úsporná_opatření[[#This Row],[Šetřený nositel energie]] &amp; "#" &amp; Úsporná_opatření[[#This Row],[Nejpodobnější sektor]],Emiskoef,3,FALSE)</f>
        <v>299.99999999999994</v>
      </c>
      <c r="U20" s="7">
        <f>VLOOKUP(Úsporná_opatření[[#This Row],[Šetřený nositel energie]] &amp; "#" &amp; Úsporná_opatření[[#This Row],[Nejpodobnější sektor]],Emiskoef,4,FALSE)</f>
        <v>1.5</v>
      </c>
      <c r="V20" s="7">
        <f>Úsporná_opatření[[#This Row],[Emisní koeficient CO2 '[kg/GJ']]]+0.025*Úsporná_opatření[[#This Row],[Emisní koeficient CH4 '[g/GJ']]]+0.298*Úsporná_opatření[[#This Row],[Emisní koeficient N2O '[g/GJ']]]</f>
        <v>104.57884356580588</v>
      </c>
      <c r="W20" s="4">
        <f>1000*Úsporná_opatření[[#This Row],[Investice '[Kč/GJ']]]/Úsporná_opatření[[#This Row],[Emisní koeficient CO2 eq '[kg/GJ']]]</f>
        <v>47810.817460930964</v>
      </c>
      <c r="X20" s="7" t="s">
        <v>352</v>
      </c>
    </row>
    <row r="21" spans="2:24" x14ac:dyDescent="0.25">
      <c r="B21" s="3" t="s">
        <v>6</v>
      </c>
      <c r="C21" s="3" t="s">
        <v>3</v>
      </c>
      <c r="D21" s="3" t="s">
        <v>3</v>
      </c>
      <c r="E21" s="3" t="str">
        <f>CONCATENATE(Úsporná_opatření[[#This Row],[Sektor]],Úsporná_opatření[[#This Row],[Opatření]])</f>
        <v>SlužbyInstalace kotle na biomasu</v>
      </c>
      <c r="F21" s="4">
        <v>4500</v>
      </c>
      <c r="G21" s="11">
        <v>0.2</v>
      </c>
      <c r="H21" s="20">
        <f>Úsporná_opatření[[#This Row],[Potenciál úspor energie v TJ]]*Úsporná_opatření[[#This Row],[Investice '[Kč/GJ']]]*1000</f>
        <v>3600000000</v>
      </c>
      <c r="I21" s="20">
        <f>Úsporná_opatření[[#This Row],[Podíl dotace '[%']]]*Úsporná_opatření[[#This Row],[Investice]]</f>
        <v>720000000</v>
      </c>
      <c r="K21" s="12">
        <v>800</v>
      </c>
      <c r="L21" s="3">
        <v>20</v>
      </c>
      <c r="M21" s="3" t="s">
        <v>281</v>
      </c>
      <c r="N21" s="3" t="s">
        <v>6</v>
      </c>
      <c r="O21" s="4">
        <f>Úsporná_opatření[[#This Row],[Potenciál úspor energie v TJ]]*Úsporná_opatření[[#This Row],[Emisní koeficient CO2 '[kg/GJ']]]</f>
        <v>78909.697801135626</v>
      </c>
      <c r="P21" s="4">
        <f>Úsporná_opatření[[#This Row],[Potenciál úspor energie v TJ]]*Úsporná_opatření[[#This Row],[Emisní koeficient CH4 '[g/GJ']]]</f>
        <v>8000</v>
      </c>
      <c r="Q21" s="4">
        <f>Úsporná_opatření[[#This Row],[Potenciál úspor energie v TJ]]*Úsporná_opatření[[#This Row],[Emisní koeficient N2O '[g/GJ']]]</f>
        <v>1200</v>
      </c>
      <c r="R21" s="4">
        <f>Úsporná_opatření[[#This Row],[Potenciál úspor energie v TJ]]*Úsporná_opatření[[#This Row],[Emisní koeficient CO2 eq '[kg/GJ']]]</f>
        <v>79467.297801135617</v>
      </c>
      <c r="S21" s="7">
        <f>VLOOKUP(Úsporná_opatření[[#This Row],[Šetřený nositel energie]] &amp; "#" &amp; Úsporná_opatření[[#This Row],[Nejpodobnější sektor]],Emiskoef,2,FALSE)</f>
        <v>98.637122251419527</v>
      </c>
      <c r="T21" s="7">
        <f>VLOOKUP(Úsporná_opatření[[#This Row],[Šetřený nositel energie]] &amp; "#" &amp; Úsporná_opatření[[#This Row],[Nejpodobnější sektor]],Emiskoef,3,FALSE)</f>
        <v>10</v>
      </c>
      <c r="U21" s="7">
        <f>VLOOKUP(Úsporná_opatření[[#This Row],[Šetřený nositel energie]] &amp; "#" &amp; Úsporná_opatření[[#This Row],[Nejpodobnější sektor]],Emiskoef,4,FALSE)</f>
        <v>1.5</v>
      </c>
      <c r="V21" s="7">
        <f>Úsporná_opatření[[#This Row],[Emisní koeficient CO2 '[kg/GJ']]]+0.025*Úsporná_opatření[[#This Row],[Emisní koeficient CH4 '[g/GJ']]]+0.298*Úsporná_opatření[[#This Row],[Emisní koeficient N2O '[g/GJ']]]</f>
        <v>99.334122251419529</v>
      </c>
      <c r="W21" s="4">
        <f>1000*Úsporná_opatření[[#This Row],[Investice '[Kč/GJ']]]/Úsporná_opatření[[#This Row],[Emisní koeficient CO2 eq '[kg/GJ']]]</f>
        <v>45301.653631269619</v>
      </c>
      <c r="X21" s="7" t="s">
        <v>352</v>
      </c>
    </row>
    <row r="22" spans="2:24" x14ac:dyDescent="0.25">
      <c r="B22" s="3" t="s">
        <v>6</v>
      </c>
      <c r="C22" s="3" t="s">
        <v>3</v>
      </c>
      <c r="D22" s="3" t="s">
        <v>3</v>
      </c>
      <c r="E22" s="3" t="str">
        <f>CONCATENATE(Úsporná_opatření[[#This Row],[Sektor]],Úsporná_opatření[[#This Row],[Opatření]])</f>
        <v>SlužbyInstalace kotle na biomasu</v>
      </c>
      <c r="F22" s="4">
        <v>5000</v>
      </c>
      <c r="G22" s="11">
        <v>0.4</v>
      </c>
      <c r="H22" s="20">
        <f>Úsporná_opatření[[#This Row],[Potenciál úspor energie v TJ]]*Úsporná_opatření[[#This Row],[Investice '[Kč/GJ']]]*1000</f>
        <v>6000000000</v>
      </c>
      <c r="I22" s="20">
        <f>Úsporná_opatření[[#This Row],[Podíl dotace '[%']]]*Úsporná_opatření[[#This Row],[Investice]]</f>
        <v>2400000000</v>
      </c>
      <c r="K22" s="12">
        <v>1200</v>
      </c>
      <c r="L22" s="3">
        <v>20</v>
      </c>
      <c r="M22" s="3" t="s">
        <v>281</v>
      </c>
      <c r="N22" s="3" t="s">
        <v>6</v>
      </c>
      <c r="O22" s="4">
        <f>Úsporná_opatření[[#This Row],[Potenciál úspor energie v TJ]]*Úsporná_opatření[[#This Row],[Emisní koeficient CO2 '[kg/GJ']]]</f>
        <v>118364.54670170344</v>
      </c>
      <c r="P22" s="4">
        <f>Úsporná_opatření[[#This Row],[Potenciál úspor energie v TJ]]*Úsporná_opatření[[#This Row],[Emisní koeficient CH4 '[g/GJ']]]</f>
        <v>12000</v>
      </c>
      <c r="Q22" s="4">
        <f>Úsporná_opatření[[#This Row],[Potenciál úspor energie v TJ]]*Úsporná_opatření[[#This Row],[Emisní koeficient N2O '[g/GJ']]]</f>
        <v>1800</v>
      </c>
      <c r="R22" s="4">
        <f>Úsporná_opatření[[#This Row],[Potenciál úspor energie v TJ]]*Úsporná_opatření[[#This Row],[Emisní koeficient CO2 eq '[kg/GJ']]]</f>
        <v>119200.94670170343</v>
      </c>
      <c r="S22" s="7">
        <f>VLOOKUP(Úsporná_opatření[[#This Row],[Šetřený nositel energie]] &amp; "#" &amp; Úsporná_opatření[[#This Row],[Nejpodobnější sektor]],Emiskoef,2,FALSE)</f>
        <v>98.637122251419527</v>
      </c>
      <c r="T22" s="7">
        <f>VLOOKUP(Úsporná_opatření[[#This Row],[Šetřený nositel energie]] &amp; "#" &amp; Úsporná_opatření[[#This Row],[Nejpodobnější sektor]],Emiskoef,3,FALSE)</f>
        <v>10</v>
      </c>
      <c r="U22" s="7">
        <f>VLOOKUP(Úsporná_opatření[[#This Row],[Šetřený nositel energie]] &amp; "#" &amp; Úsporná_opatření[[#This Row],[Nejpodobnější sektor]],Emiskoef,4,FALSE)</f>
        <v>1.5</v>
      </c>
      <c r="V22" s="7">
        <f>Úsporná_opatření[[#This Row],[Emisní koeficient CO2 '[kg/GJ']]]+0.025*Úsporná_opatření[[#This Row],[Emisní koeficient CH4 '[g/GJ']]]+0.298*Úsporná_opatření[[#This Row],[Emisní koeficient N2O '[g/GJ']]]</f>
        <v>99.334122251419529</v>
      </c>
      <c r="W22" s="4">
        <f>1000*Úsporná_opatření[[#This Row],[Investice '[Kč/GJ']]]/Úsporná_opatření[[#This Row],[Emisní koeficient CO2 eq '[kg/GJ']]]</f>
        <v>50335.170701410687</v>
      </c>
      <c r="X22" s="7" t="s">
        <v>352</v>
      </c>
    </row>
    <row r="23" spans="2:24" x14ac:dyDescent="0.25">
      <c r="B23" s="3" t="s">
        <v>4</v>
      </c>
      <c r="C23" s="3" t="s">
        <v>3</v>
      </c>
      <c r="D23" s="3" t="s">
        <v>3</v>
      </c>
      <c r="E23" s="3" t="str">
        <f>CONCATENATE(Úsporná_opatření[[#This Row],[Sektor]],Úsporná_opatření[[#This Row],[Opatření]])</f>
        <v>PrůmyslInstalace kotle na biomasu</v>
      </c>
      <c r="F23" s="4">
        <v>2500</v>
      </c>
      <c r="G23" s="11">
        <v>0.3</v>
      </c>
      <c r="H23" s="20">
        <f>Úsporná_opatření[[#This Row],[Potenciál úspor energie v TJ]]*Úsporná_opatření[[#This Row],[Investice '[Kč/GJ']]]*1000</f>
        <v>2000000000</v>
      </c>
      <c r="I23" s="20">
        <f>Úsporná_opatření[[#This Row],[Podíl dotace '[%']]]*Úsporná_opatření[[#This Row],[Investice]]</f>
        <v>600000000</v>
      </c>
      <c r="K23" s="12">
        <v>800</v>
      </c>
      <c r="L23" s="3">
        <v>20</v>
      </c>
      <c r="M23" s="3" t="s">
        <v>281</v>
      </c>
      <c r="N23" s="3" t="s">
        <v>4</v>
      </c>
      <c r="O23" s="4">
        <f>Úsporná_opatření[[#This Row],[Potenciál úspor energie v TJ]]*Úsporná_opatření[[#This Row],[Emisní koeficient CO2 '[kg/GJ']]]</f>
        <v>72853.650298472188</v>
      </c>
      <c r="P23" s="4">
        <f>Úsporná_opatření[[#This Row],[Potenciál úspor energie v TJ]]*Úsporná_opatření[[#This Row],[Emisní koeficient CH4 '[g/GJ']]]</f>
        <v>6923.6474565948884</v>
      </c>
      <c r="Q23" s="4">
        <f>Úsporná_opatření[[#This Row],[Potenciál úspor energie v TJ]]*Úsporná_opatření[[#This Row],[Emisní koeficient N2O '[g/GJ']]]</f>
        <v>1032.5673821368318</v>
      </c>
      <c r="R23" s="4">
        <f>Úsporná_opatření[[#This Row],[Potenciál úspor energie v TJ]]*Úsporná_opatření[[#This Row],[Emisní koeficient CO2 eq '[kg/GJ']]]</f>
        <v>73334.446564763843</v>
      </c>
      <c r="S23" s="7">
        <f>VLOOKUP(Úsporná_opatření[[#This Row],[Šetřený nositel energie]] &amp; "#" &amp; Úsporná_opatření[[#This Row],[Nejpodobnější sektor]],Emiskoef,2,FALSE)</f>
        <v>91.067062873090237</v>
      </c>
      <c r="T23" s="7">
        <f>VLOOKUP(Úsporná_opatření[[#This Row],[Šetřený nositel energie]] &amp; "#" &amp; Úsporná_opatření[[#This Row],[Nejpodobnější sektor]],Emiskoef,3,FALSE)</f>
        <v>8.6545593207436102</v>
      </c>
      <c r="U23" s="7">
        <f>VLOOKUP(Úsporná_opatření[[#This Row],[Šetřený nositel energie]] &amp; "#" &amp; Úsporná_opatření[[#This Row],[Nejpodobnější sektor]],Emiskoef,4,FALSE)</f>
        <v>1.2907092276710399</v>
      </c>
      <c r="V23" s="7">
        <f>Úsporná_opatření[[#This Row],[Emisní koeficient CO2 '[kg/GJ']]]+0.025*Úsporná_opatření[[#This Row],[Emisní koeficient CH4 '[g/GJ']]]+0.298*Úsporná_opatření[[#This Row],[Emisní koeficient N2O '[g/GJ']]]</f>
        <v>91.668058205954807</v>
      </c>
      <c r="W23" s="4">
        <f>1000*Úsporná_opatření[[#This Row],[Investice '[Kč/GJ']]]/Úsporná_opatření[[#This Row],[Emisní koeficient CO2 eq '[kg/GJ']]]</f>
        <v>27272.313267323017</v>
      </c>
      <c r="X23" s="7" t="s">
        <v>352</v>
      </c>
    </row>
    <row r="24" spans="2:24" x14ac:dyDescent="0.25">
      <c r="B24" s="3" t="s">
        <v>4</v>
      </c>
      <c r="C24" s="3" t="s">
        <v>3</v>
      </c>
      <c r="D24" s="3" t="s">
        <v>3</v>
      </c>
      <c r="E24" s="3" t="str">
        <f>CONCATENATE(Úsporná_opatření[[#This Row],[Sektor]],Úsporná_opatření[[#This Row],[Opatření]])</f>
        <v>PrůmyslInstalace kotle na biomasu</v>
      </c>
      <c r="F24" s="4">
        <v>1000</v>
      </c>
      <c r="G24" s="11">
        <v>0.5</v>
      </c>
      <c r="H24" s="20">
        <f>Úsporná_opatření[[#This Row],[Potenciál úspor energie v TJ]]*Úsporná_opatření[[#This Row],[Investice '[Kč/GJ']]]*1000</f>
        <v>1200000000</v>
      </c>
      <c r="I24" s="20">
        <f>Úsporná_opatření[[#This Row],[Podíl dotace '[%']]]*Úsporná_opatření[[#This Row],[Investice]]</f>
        <v>600000000</v>
      </c>
      <c r="K24" s="12">
        <v>1200</v>
      </c>
      <c r="L24" s="3">
        <v>20</v>
      </c>
      <c r="M24" s="3" t="s">
        <v>281</v>
      </c>
      <c r="N24" s="3" t="s">
        <v>4</v>
      </c>
      <c r="O24" s="4">
        <f>Úsporná_opatření[[#This Row],[Potenciál úspor energie v TJ]]*Úsporná_opatření[[#This Row],[Emisní koeficient CO2 '[kg/GJ']]]</f>
        <v>109280.47544770829</v>
      </c>
      <c r="P24" s="4">
        <f>Úsporná_opatření[[#This Row],[Potenciál úspor energie v TJ]]*Úsporná_opatření[[#This Row],[Emisní koeficient CH4 '[g/GJ']]]</f>
        <v>10385.471184892333</v>
      </c>
      <c r="Q24" s="4">
        <f>Úsporná_opatření[[#This Row],[Potenciál úspor energie v TJ]]*Úsporná_opatření[[#This Row],[Emisní koeficient N2O '[g/GJ']]]</f>
        <v>1548.851073205248</v>
      </c>
      <c r="R24" s="4">
        <f>Úsporná_opatření[[#This Row],[Potenciál úspor energie v TJ]]*Úsporná_opatření[[#This Row],[Emisní koeficient CO2 eq '[kg/GJ']]]</f>
        <v>110001.66984714576</v>
      </c>
      <c r="S24" s="7">
        <f>VLOOKUP(Úsporná_opatření[[#This Row],[Šetřený nositel energie]] &amp; "#" &amp; Úsporná_opatření[[#This Row],[Nejpodobnější sektor]],Emiskoef,2,FALSE)</f>
        <v>91.067062873090237</v>
      </c>
      <c r="T24" s="7">
        <f>VLOOKUP(Úsporná_opatření[[#This Row],[Šetřený nositel energie]] &amp; "#" &amp; Úsporná_opatření[[#This Row],[Nejpodobnější sektor]],Emiskoef,3,FALSE)</f>
        <v>8.6545593207436102</v>
      </c>
      <c r="U24" s="7">
        <f>VLOOKUP(Úsporná_opatření[[#This Row],[Šetřený nositel energie]] &amp; "#" &amp; Úsporná_opatření[[#This Row],[Nejpodobnější sektor]],Emiskoef,4,FALSE)</f>
        <v>1.2907092276710399</v>
      </c>
      <c r="V24" s="7">
        <f>Úsporná_opatření[[#This Row],[Emisní koeficient CO2 '[kg/GJ']]]+0.025*Úsporná_opatření[[#This Row],[Emisní koeficient CH4 '[g/GJ']]]+0.298*Úsporná_opatření[[#This Row],[Emisní koeficient N2O '[g/GJ']]]</f>
        <v>91.668058205954807</v>
      </c>
      <c r="W24" s="4">
        <f>1000*Úsporná_opatření[[#This Row],[Investice '[Kč/GJ']]]/Úsporná_opatření[[#This Row],[Emisní koeficient CO2 eq '[kg/GJ']]]</f>
        <v>10908.925306929208</v>
      </c>
      <c r="X24" s="7" t="s">
        <v>352</v>
      </c>
    </row>
    <row r="25" spans="2:24" x14ac:dyDescent="0.25">
      <c r="B25" s="3" t="s">
        <v>4</v>
      </c>
      <c r="C25" s="3" t="s">
        <v>1</v>
      </c>
      <c r="D25" s="3" t="s">
        <v>156</v>
      </c>
      <c r="E25" s="3" t="str">
        <f>CONCATENATE(Úsporná_opatření[[#This Row],[Sektor]],Úsporná_opatření[[#This Row],[Opatření]])</f>
        <v>PrůmyslInstalace fototermických systémů (pro výrobu tepla)</v>
      </c>
      <c r="F25" s="4">
        <v>5567.4136313856179</v>
      </c>
      <c r="G25" s="11">
        <f>VLOOKUP(Úsporná_opatření[[#This Row],[Opatření podrobně]],Potenciál_opatření!$A$1:$C$191,3,0)</f>
        <v>0.66666666666666674</v>
      </c>
      <c r="H25" s="13">
        <f>Úsporná_opatření[[#This Row],[Potenciál úspor energie v TJ]]*Úsporná_opatření[[#This Row],[Investice '[Kč/GJ']]]*1000</f>
        <v>89691521.834315836</v>
      </c>
      <c r="I25" s="13">
        <f>Úsporná_opatření[[#This Row],[Podíl dotace '[%']]]*Úsporná_opatření[[#This Row],[Investice]]</f>
        <v>59794347.889543898</v>
      </c>
      <c r="J25" s="3">
        <v>15</v>
      </c>
      <c r="K25" s="12">
        <f>VLOOKUP(Úsporná_opatření[[#This Row],[Opatření podrobně]],Potenciál_opatření!$A$1:$C$191,2,0)</f>
        <v>16.110087694704553</v>
      </c>
      <c r="L25" s="3">
        <v>20</v>
      </c>
      <c r="M25" s="3" t="s">
        <v>13</v>
      </c>
      <c r="N25" s="3" t="s">
        <v>4</v>
      </c>
      <c r="O25" s="4">
        <f>Úsporná_opatření[[#This Row],[Potenciál úspor energie v TJ]]*Úsporná_opatření[[#This Row],[Emisní koeficient CO2 '[kg/GJ']]]</f>
        <v>1529.271573469621</v>
      </c>
      <c r="P25" s="4">
        <f>Úsporná_opatření[[#This Row],[Potenciál úspor energie v TJ]]*Úsporná_opatření[[#This Row],[Emisní koeficient CH4 '[g/GJ']]]</f>
        <v>18.498799026811731</v>
      </c>
      <c r="Q25" s="4">
        <f>Úsporná_opatření[[#This Row],[Potenciál úspor energie v TJ]]*Úsporná_opatření[[#This Row],[Emisní koeficient N2O '[g/GJ']]]</f>
        <v>18.046309634281958</v>
      </c>
      <c r="R25" s="4">
        <f>Úsporná_opatření[[#This Row],[Potenciál úspor energie v TJ]]*Úsporná_opatření[[#This Row],[Emisní koeficient CO2 eq '[kg/GJ']]]</f>
        <v>1535.1118437163075</v>
      </c>
      <c r="S25" s="7">
        <f>VLOOKUP(Úsporná_opatření[[#This Row],[Šetřený nositel energie]] &amp; "#" &amp; Úsporná_opatření[[#This Row],[Nejpodobnější sektor]],Emiskoef,2,FALSE)</f>
        <v>94.926334508551335</v>
      </c>
      <c r="T25" s="7">
        <f>VLOOKUP(Úsporná_opatření[[#This Row],[Šetřený nositel energie]] &amp; "#" &amp; Úsporná_opatření[[#This Row],[Nejpodobnější sektor]],Emiskoef,3,FALSE)</f>
        <v>1.1482742600397113</v>
      </c>
      <c r="U25" s="7">
        <f>VLOOKUP(Úsporná_opatření[[#This Row],[Šetřený nositel energie]] &amp; "#" &amp; Úsporná_opatření[[#This Row],[Nejpodobnější sektor]],Emiskoef,4,FALSE)</f>
        <v>1.1201869273631482</v>
      </c>
      <c r="V25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5" s="4">
        <f>1000*Úsporná_opatření[[#This Row],[Investice '[Kč/GJ']]]/Úsporná_opatření[[#This Row],[Emisní koeficient CO2 eq '[kg/GJ']]]</f>
        <v>58426.701742580692</v>
      </c>
      <c r="X25" s="7" t="s">
        <v>351</v>
      </c>
    </row>
    <row r="26" spans="2:24" x14ac:dyDescent="0.25">
      <c r="B26" s="3" t="s">
        <v>4</v>
      </c>
      <c r="C26" s="3" t="s">
        <v>1</v>
      </c>
      <c r="D26" s="3" t="s">
        <v>178</v>
      </c>
      <c r="E26" s="3" t="str">
        <f>CONCATENATE(Úsporná_opatření[[#This Row],[Sektor]],Úsporná_opatření[[#This Row],[Opatření]])</f>
        <v>PrůmyslInstalace fototermických systémů (pro výrobu tepla)</v>
      </c>
      <c r="F26" s="4">
        <v>7966.0996966028961</v>
      </c>
      <c r="G26" s="11">
        <f>VLOOKUP(Úsporná_opatření[[#This Row],[Opatření podrobně]],Potenciál_opatření!$A$1:$C$191,3,0)</f>
        <v>0.8</v>
      </c>
      <c r="H26" s="13">
        <f>Úsporná_opatření[[#This Row],[Potenciál úspor energie v TJ]]*Úsporná_opatření[[#This Row],[Investice '[Kč/GJ']]]*1000</f>
        <v>427781882.32344002</v>
      </c>
      <c r="I26" s="13">
        <f>Úsporná_opatření[[#This Row],[Podíl dotace '[%']]]*Úsporná_opatření[[#This Row],[Investice]]</f>
        <v>342225505.85875201</v>
      </c>
      <c r="J26" s="3">
        <v>25</v>
      </c>
      <c r="K26" s="12">
        <f>VLOOKUP(Úsporná_opatření[[#This Row],[Opatření podrobně]],Potenciál_opatření!$A$1:$C$191,2,0)</f>
        <v>53.70029231568185</v>
      </c>
      <c r="L26" s="3">
        <v>20</v>
      </c>
      <c r="M26" s="3" t="s">
        <v>13</v>
      </c>
      <c r="N26" s="3" t="s">
        <v>4</v>
      </c>
      <c r="O26" s="4">
        <f>Úsporná_opatření[[#This Row],[Potenciál úspor energie v TJ]]*Úsporná_opatření[[#This Row],[Emisní koeficient CO2 '[kg/GJ']]]</f>
        <v>5097.5719115654038</v>
      </c>
      <c r="P26" s="4">
        <f>Úsporná_opatření[[#This Row],[Potenciál úspor energie v TJ]]*Úsporná_opatření[[#This Row],[Emisní koeficient CH4 '[g/GJ']]]</f>
        <v>61.662663422705769</v>
      </c>
      <c r="Q26" s="4">
        <f>Úsporná_opatření[[#This Row],[Potenciál úspor energie v TJ]]*Úsporná_opatření[[#This Row],[Emisní koeficient N2O '[g/GJ']]]</f>
        <v>60.15436544760653</v>
      </c>
      <c r="R26" s="4">
        <f>Úsporná_opatření[[#This Row],[Potenciál úspor energie v TJ]]*Úsporná_opatření[[#This Row],[Emisní koeficient CO2 eq '[kg/GJ']]]</f>
        <v>5117.0394790543587</v>
      </c>
      <c r="S26" s="7">
        <f>VLOOKUP(Úsporná_opatření[[#This Row],[Šetřený nositel energie]] &amp; "#" &amp; Úsporná_opatření[[#This Row],[Nejpodobnější sektor]],Emiskoef,2,FALSE)</f>
        <v>94.926334508551335</v>
      </c>
      <c r="T26" s="7">
        <f>VLOOKUP(Úsporná_opatření[[#This Row],[Šetřený nositel energie]] &amp; "#" &amp; Úsporná_opatření[[#This Row],[Nejpodobnější sektor]],Emiskoef,3,FALSE)</f>
        <v>1.1482742600397113</v>
      </c>
      <c r="U26" s="7">
        <f>VLOOKUP(Úsporná_opatření[[#This Row],[Šetřený nositel energie]] &amp; "#" &amp; Úsporná_opatření[[#This Row],[Nejpodobnější sektor]],Emiskoef,4,FALSE)</f>
        <v>1.1201869273631482</v>
      </c>
      <c r="V26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6" s="4">
        <f>1000*Úsporná_opatření[[#This Row],[Investice '[Kč/GJ']]]/Úsporná_opatření[[#This Row],[Emisní koeficient CO2 eq '[kg/GJ']]]</f>
        <v>83599.488351513588</v>
      </c>
      <c r="X26" s="7" t="s">
        <v>352</v>
      </c>
    </row>
    <row r="27" spans="2:24" x14ac:dyDescent="0.25">
      <c r="B27" s="3" t="s">
        <v>42</v>
      </c>
      <c r="C27" s="3" t="s">
        <v>1</v>
      </c>
      <c r="D27" s="3" t="s">
        <v>196</v>
      </c>
      <c r="E27" s="3" t="str">
        <f>CONCATENATE(Úsporná_opatření[[#This Row],[Sektor]],Úsporná_opatření[[#This Row],[Opatření]])</f>
        <v>ZemědělstvíInstalace fototermických systémů (pro výrobu tepla)</v>
      </c>
      <c r="F27" s="4">
        <v>11042.89925015327</v>
      </c>
      <c r="G27" s="11">
        <f>VLOOKUP(Úsporná_opatření[[#This Row],[Opatření podrobně]],Potenciál_opatření!$A$1:$C$191,3,0)</f>
        <v>0.66666666666666674</v>
      </c>
      <c r="H27" s="13">
        <f>Úsporná_opatření[[#This Row],[Potenciál úspor energie v TJ]]*Úsporná_opatření[[#This Row],[Investice '[Kč/GJ']]]*1000</f>
        <v>176438075.87950495</v>
      </c>
      <c r="I27" s="13">
        <f>Úsporná_opatření[[#This Row],[Podíl dotace '[%']]]*Úsporná_opatření[[#This Row],[Investice]]</f>
        <v>117625383.91966999</v>
      </c>
      <c r="J27" s="3">
        <v>15</v>
      </c>
      <c r="K27" s="12">
        <f>VLOOKUP(Úsporná_opatření[[#This Row],[Opatření podrobně]],Potenciál_opatření!$A$1:$C$191,2,0)</f>
        <v>15.977513865034682</v>
      </c>
      <c r="L27" s="3">
        <v>20</v>
      </c>
      <c r="M27" s="3" t="s">
        <v>13</v>
      </c>
      <c r="N27" s="3" t="s">
        <v>4</v>
      </c>
      <c r="O27" s="4">
        <f>Úsporná_opatření[[#This Row],[Potenciál úspor energie v TJ]]*Úsporná_opatření[[#This Row],[Emisní koeficient CO2 '[kg/GJ']]]</f>
        <v>1516.6868257672991</v>
      </c>
      <c r="P27" s="4">
        <f>Úsporná_opatření[[#This Row],[Potenciál úspor energie v TJ]]*Úsporná_opatření[[#This Row],[Emisní koeficient CH4 '[g/GJ']]]</f>
        <v>18.346567910646929</v>
      </c>
      <c r="Q27" s="4">
        <f>Úsporná_opatření[[#This Row],[Potenciál úspor energie v TJ]]*Úsporná_opatření[[#This Row],[Emisní koeficient N2O '[g/GJ']]]</f>
        <v>17.8978021633753</v>
      </c>
      <c r="R27" s="4">
        <f>Úsporná_opatření[[#This Row],[Potenciál úspor energie v TJ]]*Úsporná_opatření[[#This Row],[Emisní koeficient CO2 eq '[kg/GJ']]]</f>
        <v>1522.4790350097512</v>
      </c>
      <c r="S27" s="7">
        <f>VLOOKUP(Úsporná_opatření[[#This Row],[Šetřený nositel energie]] &amp; "#" &amp; Úsporná_opatření[[#This Row],[Nejpodobnější sektor]],Emiskoef,2,FALSE)</f>
        <v>94.926334508551335</v>
      </c>
      <c r="T27" s="7">
        <f>VLOOKUP(Úsporná_opatření[[#This Row],[Šetřený nositel energie]] &amp; "#" &amp; Úsporná_opatření[[#This Row],[Nejpodobnější sektor]],Emiskoef,3,FALSE)</f>
        <v>1.1482742600397113</v>
      </c>
      <c r="U27" s="7">
        <f>VLOOKUP(Úsporná_opatření[[#This Row],[Šetřený nositel energie]] &amp; "#" &amp; Úsporná_opatření[[#This Row],[Nejpodobnější sektor]],Emiskoef,4,FALSE)</f>
        <v>1.1201869273631482</v>
      </c>
      <c r="V27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7" s="4">
        <f>1000*Úsporná_opatření[[#This Row],[Investice '[Kč/GJ']]]/Úsporná_opatření[[#This Row],[Emisní koeficient CO2 eq '[kg/GJ']]]</f>
        <v>115888.67355298255</v>
      </c>
      <c r="X27" s="7" t="s">
        <v>351</v>
      </c>
    </row>
    <row r="28" spans="2:24" x14ac:dyDescent="0.25">
      <c r="B28" s="3" t="s">
        <v>6</v>
      </c>
      <c r="C28" s="3" t="s">
        <v>1</v>
      </c>
      <c r="D28" s="3" t="s">
        <v>197</v>
      </c>
      <c r="E28" s="3" t="str">
        <f>CONCATENATE(Úsporná_opatření[[#This Row],[Sektor]],Úsporná_opatření[[#This Row],[Opatření]])</f>
        <v>SlužbyInstalace fototermických systémů (pro výrobu tepla)</v>
      </c>
      <c r="F28" s="4">
        <v>11042.89925015327</v>
      </c>
      <c r="G28" s="11">
        <f>VLOOKUP(Úsporná_opatření[[#This Row],[Opatření podrobně]],Potenciál_opatření!$A$1:$C$191,3,0)</f>
        <v>0.66666666666666674</v>
      </c>
      <c r="H28" s="13">
        <f>Úsporná_opatření[[#This Row],[Potenciál úspor energie v TJ]]*Úsporná_opatření[[#This Row],[Investice '[Kč/GJ']]]*1000</f>
        <v>750276257.61478317</v>
      </c>
      <c r="I28" s="13">
        <f>Úsporná_opatření[[#This Row],[Podíl dotace '[%']]]*Úsporná_opatření[[#This Row],[Investice]]</f>
        <v>500184171.74318886</v>
      </c>
      <c r="J28" s="3">
        <v>15</v>
      </c>
      <c r="K28" s="12">
        <f>VLOOKUP(Úsporná_opatření[[#This Row],[Opatření podrobně]],Potenciál_opatření!$A$1:$C$191,2,0)</f>
        <v>67.941963484305958</v>
      </c>
      <c r="L28" s="3">
        <v>20</v>
      </c>
      <c r="M28" s="3" t="s">
        <v>13</v>
      </c>
      <c r="N28" s="3" t="s">
        <v>6</v>
      </c>
      <c r="O28" s="4">
        <f>Úsporná_opatření[[#This Row],[Potenciál úspor energie v TJ]]*Úsporná_opatření[[#This Row],[Emisní koeficient CO2 '[kg/GJ']]]</f>
        <v>6449.4815528790077</v>
      </c>
      <c r="P28" s="4">
        <f>Úsporná_opatření[[#This Row],[Potenciál úspor energie v TJ]]*Úsporná_opatření[[#This Row],[Emisní koeficient CH4 '[g/GJ']]]</f>
        <v>78.016007845586515</v>
      </c>
      <c r="Q28" s="4">
        <f>Úsporná_opatření[[#This Row],[Potenciál úspor energie v TJ]]*Úsporná_opatření[[#This Row],[Emisní koeficient N2O '[g/GJ']]]</f>
        <v>76.107699314503904</v>
      </c>
      <c r="R28" s="4">
        <f>Úsporná_opatření[[#This Row],[Potenciál úspor energie v TJ]]*Úsporná_opatření[[#This Row],[Emisní koeficient CO2 eq '[kg/GJ']]]</f>
        <v>6474.1120474708696</v>
      </c>
      <c r="S28" s="7">
        <f>VLOOKUP(Úsporná_opatření[[#This Row],[Šetřený nositel energie]] &amp; "#" &amp; Úsporná_opatření[[#This Row],[Nejpodobnější sektor]],Emiskoef,2,FALSE)</f>
        <v>94.926334508551335</v>
      </c>
      <c r="T28" s="7">
        <f>VLOOKUP(Úsporná_opatření[[#This Row],[Šetřený nositel energie]] &amp; "#" &amp; Úsporná_opatření[[#This Row],[Nejpodobnější sektor]],Emiskoef,3,FALSE)</f>
        <v>1.1482742600397113</v>
      </c>
      <c r="U28" s="7">
        <f>VLOOKUP(Úsporná_opatření[[#This Row],[Šetřený nositel energie]] &amp; "#" &amp; Úsporná_opatření[[#This Row],[Nejpodobnější sektor]],Emiskoef,4,FALSE)</f>
        <v>1.1201869273631482</v>
      </c>
      <c r="V28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8" s="4">
        <f>1000*Úsporná_opatření[[#This Row],[Investice '[Kč/GJ']]]/Úsporná_opatření[[#This Row],[Emisní koeficient CO2 eq '[kg/GJ']]]</f>
        <v>115888.67355298255</v>
      </c>
      <c r="X28" s="7" t="s">
        <v>351</v>
      </c>
    </row>
    <row r="29" spans="2:24" x14ac:dyDescent="0.25">
      <c r="B29" s="3" t="s">
        <v>311</v>
      </c>
      <c r="C29" s="3" t="s">
        <v>1</v>
      </c>
      <c r="D29" s="3" t="s">
        <v>198</v>
      </c>
      <c r="E29" s="3" t="str">
        <f>CONCATENATE(Úsporná_opatření[[#This Row],[Sektor]],Úsporná_opatření[[#This Row],[Opatření]])</f>
        <v>veřejná správaInstalace fototermických systémů (pro výrobu tepla)</v>
      </c>
      <c r="F29" s="4">
        <v>11042.89925015327</v>
      </c>
      <c r="G29" s="11">
        <f>VLOOKUP(Úsporná_opatření[[#This Row],[Opatření podrobně]],Potenciál_opatření!$A$1:$C$191,3,0)</f>
        <v>0.19999999999999996</v>
      </c>
      <c r="H29" s="13">
        <f>Úsporná_opatření[[#This Row],[Potenciál úspor energie v TJ]]*Úsporná_opatření[[#This Row],[Investice '[Kč/GJ']]]*1000</f>
        <v>734537020.84068096</v>
      </c>
      <c r="I29" s="13">
        <f>Úsporná_opatření[[#This Row],[Podíl dotace '[%']]]*Úsporná_opatření[[#This Row],[Investice]]</f>
        <v>146907404.16813615</v>
      </c>
      <c r="J29" s="3">
        <v>15</v>
      </c>
      <c r="K29" s="12">
        <f>VLOOKUP(Úsporná_opatření[[#This Row],[Opatření podrobně]],Potenciál_opatření!$A$1:$C$191,2,0)</f>
        <v>66.516682277119017</v>
      </c>
      <c r="L29" s="3">
        <v>20</v>
      </c>
      <c r="M29" s="3" t="s">
        <v>13</v>
      </c>
      <c r="N29" s="3" t="s">
        <v>8</v>
      </c>
      <c r="O29" s="4">
        <f>Úsporná_opatření[[#This Row],[Potenciál úspor energie v TJ]]*Úsporná_opatření[[#This Row],[Emisní koeficient CO2 '[kg/GJ']]]</f>
        <v>6314.1848322368278</v>
      </c>
      <c r="P29" s="4">
        <f>Úsporná_opatření[[#This Row],[Potenciál úspor energie v TJ]]*Úsporná_opatření[[#This Row],[Emisní koeficient CH4 '[g/GJ']]]</f>
        <v>76.379394122055416</v>
      </c>
      <c r="Q29" s="4">
        <f>Úsporná_opatření[[#This Row],[Potenciál úspor energie v TJ]]*Úsporná_opatření[[#This Row],[Emisní koeficient N2O '[g/GJ']]]</f>
        <v>74.511117938396723</v>
      </c>
      <c r="R29" s="4">
        <f>Úsporná_opatření[[#This Row],[Potenciál úspor energie v TJ]]*Úsporná_opatření[[#This Row],[Emisní koeficient CO2 eq '[kg/GJ']]]</f>
        <v>6338.2986302355212</v>
      </c>
      <c r="S29" s="7">
        <f>VLOOKUP(Úsporná_opatření[[#This Row],[Šetřený nositel energie]] &amp; "#" &amp; Úsporná_opatření[[#This Row],[Nejpodobnější sektor]],Emiskoef,2,FALSE)</f>
        <v>94.926334508551335</v>
      </c>
      <c r="T29" s="7">
        <f>VLOOKUP(Úsporná_opatření[[#This Row],[Šetřený nositel energie]] &amp; "#" &amp; Úsporná_opatření[[#This Row],[Nejpodobnější sektor]],Emiskoef,3,FALSE)</f>
        <v>1.1482742600397113</v>
      </c>
      <c r="U29" s="7">
        <f>VLOOKUP(Úsporná_opatření[[#This Row],[Šetřený nositel energie]] &amp; "#" &amp; Úsporná_opatření[[#This Row],[Nejpodobnější sektor]],Emiskoef,4,FALSE)</f>
        <v>1.1201869273631482</v>
      </c>
      <c r="V29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9" s="4">
        <f>1000*Úsporná_opatření[[#This Row],[Investice '[Kč/GJ']]]/Úsporná_opatření[[#This Row],[Emisní koeficient CO2 eq '[kg/GJ']]]</f>
        <v>115888.67355298255</v>
      </c>
      <c r="X29" s="7" t="s">
        <v>351</v>
      </c>
    </row>
    <row r="30" spans="2:24" x14ac:dyDescent="0.25">
      <c r="B30" s="3" t="s">
        <v>19</v>
      </c>
      <c r="C30" s="3" t="s">
        <v>1</v>
      </c>
      <c r="D30" s="3" t="s">
        <v>199</v>
      </c>
      <c r="E30" s="3" t="str">
        <f>CONCATENATE(Úsporná_opatření[[#This Row],[Sektor]],Úsporná_opatření[[#This Row],[Opatření]])</f>
        <v>DopravaInstalace fototermických systémů (pro výrobu tepla)</v>
      </c>
      <c r="F30" s="4">
        <v>11298.91741205938</v>
      </c>
      <c r="G30" s="11">
        <f>VLOOKUP(Úsporná_opatření[[#This Row],[Opatření podrobně]],Potenciál_opatření!$A$1:$C$191,3,0)</f>
        <v>0.66666666666666674</v>
      </c>
      <c r="H30" s="13">
        <f>Úsporná_opatření[[#This Row],[Potenciál úspor energie v TJ]]*Úsporná_opatření[[#This Row],[Investice '[Kč/GJ']]]*1000</f>
        <v>16311223.268583629</v>
      </c>
      <c r="I30" s="13">
        <f>Úsporná_opatření[[#This Row],[Podíl dotace '[%']]]*Úsporná_opatření[[#This Row],[Investice]]</f>
        <v>10874148.84572242</v>
      </c>
      <c r="J30" s="3">
        <v>15</v>
      </c>
      <c r="K30" s="12">
        <f>VLOOKUP(Úsporná_opatření[[#This Row],[Opatření podrobně]],Potenciál_opatření!$A$1:$C$191,2,0)</f>
        <v>1.4436093896194511</v>
      </c>
      <c r="L30" s="3">
        <v>20</v>
      </c>
      <c r="M30" s="3" t="s">
        <v>13</v>
      </c>
      <c r="N30" s="3" t="s">
        <v>19</v>
      </c>
      <c r="O30" s="4">
        <f>Úsporná_opatření[[#This Row],[Potenciál úspor energie v TJ]]*Úsporná_opatření[[#This Row],[Emisní koeficient CO2 '[kg/GJ']]]</f>
        <v>137.03654781870162</v>
      </c>
      <c r="P30" s="4">
        <f>Úsporná_opatření[[#This Row],[Potenciál úspor energie v TJ]]*Úsporná_opatření[[#This Row],[Emisní koeficient CH4 '[g/GJ']]]</f>
        <v>1.6576595036516546</v>
      </c>
      <c r="Q30" s="4">
        <f>Úsporná_opatření[[#This Row],[Potenciál úspor energie v TJ]]*Úsporná_opatření[[#This Row],[Emisní koeficient N2O '[g/GJ']]]</f>
        <v>1.6171123664704028</v>
      </c>
      <c r="R30" s="4">
        <f>Úsporná_opatření[[#This Row],[Potenciál úspor energie v TJ]]*Úsporná_opatření[[#This Row],[Emisní koeficient CO2 eq '[kg/GJ']]]</f>
        <v>137.55988879150109</v>
      </c>
      <c r="S30" s="7">
        <f>VLOOKUP(Úsporná_opatření[[#This Row],[Šetřený nositel energie]] &amp; "#" &amp; Úsporná_opatření[[#This Row],[Nejpodobnější sektor]],Emiskoef,2,FALSE)</f>
        <v>94.926334508551335</v>
      </c>
      <c r="T30" s="7">
        <f>VLOOKUP(Úsporná_opatření[[#This Row],[Šetřený nositel energie]] &amp; "#" &amp; Úsporná_opatření[[#This Row],[Nejpodobnější sektor]],Emiskoef,3,FALSE)</f>
        <v>1.1482742600397113</v>
      </c>
      <c r="U30" s="7">
        <f>VLOOKUP(Úsporná_opatření[[#This Row],[Šetřený nositel energie]] &amp; "#" &amp; Úsporná_opatření[[#This Row],[Nejpodobnější sektor]],Emiskoef,4,FALSE)</f>
        <v>1.1201869273631482</v>
      </c>
      <c r="V30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0" s="4">
        <f>1000*Úsporná_opatření[[#This Row],[Investice '[Kč/GJ']]]/Úsporná_opatření[[#This Row],[Emisní koeficient CO2 eq '[kg/GJ']]]</f>
        <v>118575.43221270319</v>
      </c>
      <c r="X30" s="7" t="s">
        <v>351</v>
      </c>
    </row>
    <row r="31" spans="2:24" x14ac:dyDescent="0.25">
      <c r="B31" s="3" t="s">
        <v>7</v>
      </c>
      <c r="C31" s="3" t="s">
        <v>1</v>
      </c>
      <c r="D31" s="3" t="s">
        <v>206</v>
      </c>
      <c r="E31" s="3" t="str">
        <f>CONCATENATE(Úsporná_opatření[[#This Row],[Sektor]],Úsporná_opatření[[#This Row],[Opatření]])</f>
        <v>DomácnostiInstalace fototermických systémů (pro výrobu tepla)</v>
      </c>
      <c r="F31" s="4">
        <v>11984.432165333083</v>
      </c>
      <c r="G31" s="11">
        <f>VLOOKUP(Úsporná_opatření[[#This Row],[Opatření podrobně]],Potenciál_opatření!$A$1:$C$191,3,0)</f>
        <v>0.19999999999999996</v>
      </c>
      <c r="H31" s="13">
        <f>Úsporná_opatření[[#This Row],[Potenciál úspor energie v TJ]]*Úsporná_opatření[[#This Row],[Investice '[Kč/GJ']]]*1000</f>
        <v>7315212757.034976</v>
      </c>
      <c r="I31" s="13">
        <f>Úsporná_opatření[[#This Row],[Podíl dotace '[%']]]*Úsporná_opatření[[#This Row],[Investice]]</f>
        <v>1463042551.4069948</v>
      </c>
      <c r="J31" s="3">
        <v>15</v>
      </c>
      <c r="K31" s="12">
        <f>VLOOKUP(Úsporná_opatření[[#This Row],[Opatření podrobně]],Potenciál_opatření!$A$1:$C$191,2,0)</f>
        <v>610.39293778101705</v>
      </c>
      <c r="L31" s="3">
        <v>20</v>
      </c>
      <c r="M31" s="3" t="s">
        <v>13</v>
      </c>
      <c r="N31" s="3" t="s">
        <v>7</v>
      </c>
      <c r="O31" s="4">
        <f>Úsporná_opatření[[#This Row],[Potenciál úspor energie v TJ]]*Úsporná_opatření[[#This Row],[Emisní koeficient CO2 '[kg/GJ']]]</f>
        <v>57942.36419345819</v>
      </c>
      <c r="P31" s="4">
        <f>Úsporná_opatření[[#This Row],[Potenciál úspor energie v TJ]]*Úsporná_opatření[[#This Row],[Emisní koeficient CH4 '[g/GJ']]]</f>
        <v>700.89849896396288</v>
      </c>
      <c r="Q31" s="4">
        <f>Úsporná_opatření[[#This Row],[Potenciál úspor energie v TJ]]*Úsporná_opatření[[#This Row],[Emisní koeficient N2O '[g/GJ']]]</f>
        <v>683.75418945708282</v>
      </c>
      <c r="R31" s="4">
        <f>Úsporná_opatření[[#This Row],[Potenciál úspor energie v TJ]]*Úsporná_opatření[[#This Row],[Emisní koeficient CO2 eq '[kg/GJ']]]</f>
        <v>58163.645404390496</v>
      </c>
      <c r="S31" s="7">
        <f>VLOOKUP(Úsporná_opatření[[#This Row],[Šetřený nositel energie]] &amp; "#" &amp; Úsporná_opatření[[#This Row],[Nejpodobnější sektor]],Emiskoef,2,FALSE)</f>
        <v>94.926334508551335</v>
      </c>
      <c r="T31" s="7">
        <f>VLOOKUP(Úsporná_opatření[[#This Row],[Šetřený nositel energie]] &amp; "#" &amp; Úsporná_opatření[[#This Row],[Nejpodobnější sektor]],Emiskoef,3,FALSE)</f>
        <v>1.1482742600397113</v>
      </c>
      <c r="U31" s="7">
        <f>VLOOKUP(Úsporná_opatření[[#This Row],[Šetřený nositel energie]] &amp; "#" &amp; Úsporná_opatření[[#This Row],[Nejpodobnější sektor]],Emiskoef,4,FALSE)</f>
        <v>1.1201869273631482</v>
      </c>
      <c r="V31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1" s="4">
        <f>1000*Úsporná_opatření[[#This Row],[Investice '[Kč/GJ']]]/Úsporná_opatření[[#This Row],[Emisní koeficient CO2 eq '[kg/GJ']]]</f>
        <v>125769.502688062</v>
      </c>
      <c r="X31" s="7" t="s">
        <v>351</v>
      </c>
    </row>
    <row r="32" spans="2:24" x14ac:dyDescent="0.25">
      <c r="B32" s="3" t="s">
        <v>4</v>
      </c>
      <c r="C32" s="3" t="s">
        <v>1</v>
      </c>
      <c r="D32" s="3" t="s">
        <v>211</v>
      </c>
      <c r="E32" s="3" t="str">
        <f>CONCATENATE(Úsporná_opatření[[#This Row],[Sektor]],Úsporná_opatření[[#This Row],[Opatření]])</f>
        <v>PrůmyslInstalace fototermických systémů (pro výrobu tepla)</v>
      </c>
      <c r="F32" s="4">
        <v>12457.685535975352</v>
      </c>
      <c r="G32" s="11">
        <f>VLOOKUP(Úsporná_opatření[[#This Row],[Opatření podrobně]],Potenciál_opatření!$A$1:$C$191,3,0)</f>
        <v>0.8214285714285714</v>
      </c>
      <c r="H32" s="13">
        <f>Úsporná_opatření[[#This Row],[Potenciál úspor energie v TJ]]*Úsporná_opatření[[#This Row],[Investice '[Kč/GJ']]]*1000</f>
        <v>468286948.4011026</v>
      </c>
      <c r="I32" s="13">
        <f>Úsporná_opatření[[#This Row],[Podíl dotace '[%']]]*Úsporná_opatření[[#This Row],[Investice]]</f>
        <v>384664279.04376286</v>
      </c>
      <c r="J32" s="3">
        <v>28</v>
      </c>
      <c r="K32" s="12">
        <f>VLOOKUP(Úsporná_opatření[[#This Row],[Opatření podrobně]],Potenciál_opatření!$A$1:$C$191,2,0)</f>
        <v>37.590204620977289</v>
      </c>
      <c r="L32" s="3">
        <v>20</v>
      </c>
      <c r="M32" s="3" t="s">
        <v>13</v>
      </c>
      <c r="N32" s="3" t="s">
        <v>4</v>
      </c>
      <c r="O32" s="4">
        <f>Úsporná_opatření[[#This Row],[Potenciál úspor energie v TJ]]*Úsporná_opatření[[#This Row],[Emisní koeficient CO2 '[kg/GJ']]]</f>
        <v>3568.3003380957821</v>
      </c>
      <c r="P32" s="4">
        <f>Úsporná_opatření[[#This Row],[Potenciál úspor energie v TJ]]*Úsporná_opatření[[#This Row],[Emisní koeficient CH4 '[g/GJ']]]</f>
        <v>43.163864395894038</v>
      </c>
      <c r="Q32" s="4">
        <f>Úsporná_opatření[[#This Row],[Potenciál úspor energie v TJ]]*Úsporná_opatření[[#This Row],[Emisní koeficient N2O '[g/GJ']]]</f>
        <v>42.108055813324562</v>
      </c>
      <c r="R32" s="4">
        <f>Úsporná_opatření[[#This Row],[Potenciál úspor energie v TJ]]*Úsporná_opatření[[#This Row],[Emisní koeficient CO2 eq '[kg/GJ']]]</f>
        <v>3581.9276353380505</v>
      </c>
      <c r="S32" s="7">
        <f>VLOOKUP(Úsporná_opatření[[#This Row],[Šetřený nositel energie]] &amp; "#" &amp; Úsporná_opatření[[#This Row],[Nejpodobnější sektor]],Emiskoef,2,FALSE)</f>
        <v>94.926334508551335</v>
      </c>
      <c r="T32" s="7">
        <f>VLOOKUP(Úsporná_opatření[[#This Row],[Šetřený nositel energie]] &amp; "#" &amp; Úsporná_opatření[[#This Row],[Nejpodobnější sektor]],Emiskoef,3,FALSE)</f>
        <v>1.1482742600397113</v>
      </c>
      <c r="U32" s="7">
        <f>VLOOKUP(Úsporná_opatření[[#This Row],[Šetřený nositel energie]] &amp; "#" &amp; Úsporná_opatření[[#This Row],[Nejpodobnější sektor]],Emiskoef,4,FALSE)</f>
        <v>1.1201869273631482</v>
      </c>
      <c r="V32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2" s="4">
        <f>1000*Úsporná_opatření[[#This Row],[Investice '[Kč/GJ']]]/Úsporná_opatření[[#This Row],[Emisní koeficient CO2 eq '[kg/GJ']]]</f>
        <v>130736.01593207711</v>
      </c>
      <c r="X32" s="7" t="s">
        <v>353</v>
      </c>
    </row>
    <row r="33" spans="2:24" x14ac:dyDescent="0.25">
      <c r="B33" s="3" t="s">
        <v>42</v>
      </c>
      <c r="C33" s="3" t="s">
        <v>1</v>
      </c>
      <c r="D33" s="3" t="s">
        <v>215</v>
      </c>
      <c r="E33" s="3" t="str">
        <f>CONCATENATE(Úsporná_opatření[[#This Row],[Sektor]],Úsporná_opatření[[#This Row],[Opatření]])</f>
        <v>ZemědělstvíInstalace fototermických systémů (pro výrobu tepla)</v>
      </c>
      <c r="F33" s="4">
        <v>13207.76518426527</v>
      </c>
      <c r="G33" s="11">
        <f>VLOOKUP(Úsporná_opatření[[#This Row],[Opatření podrobně]],Potenciál_opatření!$A$1:$C$191,3,0)</f>
        <v>0.8</v>
      </c>
      <c r="H33" s="13">
        <f>Úsporná_opatření[[#This Row],[Potenciál úspor energie v TJ]]*Úsporná_opatření[[#This Row],[Investice '[Kč/GJ']]]*1000</f>
        <v>703424171.19240236</v>
      </c>
      <c r="I33" s="13">
        <f>Úsporná_opatření[[#This Row],[Podíl dotace '[%']]]*Úsporná_opatření[[#This Row],[Investice]]</f>
        <v>562739336.95392191</v>
      </c>
      <c r="J33" s="3">
        <v>25</v>
      </c>
      <c r="K33" s="12">
        <f>VLOOKUP(Úsporná_opatření[[#This Row],[Opatření podrobně]],Potenciál_opatření!$A$1:$C$191,2,0)</f>
        <v>53.258379550115606</v>
      </c>
      <c r="L33" s="3">
        <v>20</v>
      </c>
      <c r="M33" s="3" t="s">
        <v>13</v>
      </c>
      <c r="N33" s="3" t="s">
        <v>4</v>
      </c>
      <c r="O33" s="4">
        <f>Úsporná_opatření[[#This Row],[Potenciál úspor energie v TJ]]*Úsporná_opatření[[#This Row],[Emisní koeficient CO2 '[kg/GJ']]]</f>
        <v>5055.6227525576642</v>
      </c>
      <c r="P33" s="4">
        <f>Úsporná_opatření[[#This Row],[Potenciál úspor energie v TJ]]*Úsporná_opatření[[#This Row],[Emisní koeficient CH4 '[g/GJ']]]</f>
        <v>61.155226368823094</v>
      </c>
      <c r="Q33" s="4">
        <f>Úsporná_opatření[[#This Row],[Potenciál úspor energie v TJ]]*Úsporná_opatření[[#This Row],[Emisní koeficient N2O '[g/GJ']]]</f>
        <v>59.659340544584325</v>
      </c>
      <c r="R33" s="4">
        <f>Úsporná_opatření[[#This Row],[Potenciál úspor energie v TJ]]*Úsporná_opatření[[#This Row],[Emisní koeficient CO2 eq '[kg/GJ']]]</f>
        <v>5074.9301166991709</v>
      </c>
      <c r="S33" s="7">
        <f>VLOOKUP(Úsporná_opatření[[#This Row],[Šetřený nositel energie]] &amp; "#" &amp; Úsporná_opatření[[#This Row],[Nejpodobnější sektor]],Emiskoef,2,FALSE)</f>
        <v>94.926334508551335</v>
      </c>
      <c r="T33" s="7">
        <f>VLOOKUP(Úsporná_opatření[[#This Row],[Šetřený nositel energie]] &amp; "#" &amp; Úsporná_opatření[[#This Row],[Nejpodobnější sektor]],Emiskoef,3,FALSE)</f>
        <v>1.1482742600397113</v>
      </c>
      <c r="U33" s="7">
        <f>VLOOKUP(Úsporná_opatření[[#This Row],[Šetřený nositel energie]] &amp; "#" &amp; Úsporná_opatření[[#This Row],[Nejpodobnější sektor]],Emiskoef,4,FALSE)</f>
        <v>1.1201869273631482</v>
      </c>
      <c r="V33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3" s="4">
        <f>1000*Úsporná_opatření[[#This Row],[Investice '[Kč/GJ']]]/Úsporná_opatření[[#This Row],[Emisní koeficient CO2 eq '[kg/GJ']]]</f>
        <v>138607.65666068374</v>
      </c>
      <c r="X33" s="7" t="s">
        <v>352</v>
      </c>
    </row>
    <row r="34" spans="2:24" x14ac:dyDescent="0.25">
      <c r="B34" s="3" t="s">
        <v>6</v>
      </c>
      <c r="C34" s="3" t="s">
        <v>1</v>
      </c>
      <c r="D34" s="3" t="s">
        <v>216</v>
      </c>
      <c r="E34" s="3" t="str">
        <f>CONCATENATE(Úsporná_opatření[[#This Row],[Sektor]],Úsporná_opatření[[#This Row],[Opatření]])</f>
        <v>SlužbyInstalace fototermických systémů (pro výrobu tepla)</v>
      </c>
      <c r="F34" s="4">
        <v>13207.76518426527</v>
      </c>
      <c r="G34" s="11">
        <f>VLOOKUP(Úsporná_opatření[[#This Row],[Opatření podrobně]],Potenciál_opatření!$A$1:$C$191,3,0)</f>
        <v>0.8</v>
      </c>
      <c r="H34" s="13">
        <f>Úsporná_opatření[[#This Row],[Potenciál úspor energie v TJ]]*Úsporná_opatření[[#This Row],[Investice '[Kč/GJ']]]*1000</f>
        <v>2991204999.5287952</v>
      </c>
      <c r="I34" s="13">
        <f>Úsporná_opatření[[#This Row],[Podíl dotace '[%']]]*Úsporná_opatření[[#This Row],[Investice]]</f>
        <v>2392963999.6230364</v>
      </c>
      <c r="J34" s="3">
        <v>25</v>
      </c>
      <c r="K34" s="12">
        <f>VLOOKUP(Úsporná_opatření[[#This Row],[Opatření podrobně]],Potenciál_opatření!$A$1:$C$191,2,0)</f>
        <v>226.4732116143532</v>
      </c>
      <c r="L34" s="3">
        <v>20</v>
      </c>
      <c r="M34" s="3" t="s">
        <v>13</v>
      </c>
      <c r="N34" s="3" t="s">
        <v>6</v>
      </c>
      <c r="O34" s="4">
        <f>Úsporná_opatření[[#This Row],[Potenciál úspor energie v TJ]]*Úsporná_opatření[[#This Row],[Emisní koeficient CO2 '[kg/GJ']]]</f>
        <v>21498.271842930026</v>
      </c>
      <c r="P34" s="4">
        <f>Úsporná_opatření[[#This Row],[Potenciál úspor energie v TJ]]*Úsporná_opatření[[#This Row],[Emisní koeficient CH4 '[g/GJ']]]</f>
        <v>260.05335948528841</v>
      </c>
      <c r="Q34" s="4">
        <f>Úsporná_opatření[[#This Row],[Potenciál úspor energie v TJ]]*Úsporná_opatření[[#This Row],[Emisní koeficient N2O '[g/GJ']]]</f>
        <v>253.69233104834635</v>
      </c>
      <c r="R34" s="4">
        <f>Úsporná_opatření[[#This Row],[Potenciál úspor energie v TJ]]*Úsporná_opatření[[#This Row],[Emisní koeficient CO2 eq '[kg/GJ']]]</f>
        <v>21580.373491569564</v>
      </c>
      <c r="S34" s="7">
        <f>VLOOKUP(Úsporná_opatření[[#This Row],[Šetřený nositel energie]] &amp; "#" &amp; Úsporná_opatření[[#This Row],[Nejpodobnější sektor]],Emiskoef,2,FALSE)</f>
        <v>94.926334508551335</v>
      </c>
      <c r="T34" s="7">
        <f>VLOOKUP(Úsporná_opatření[[#This Row],[Šetřený nositel energie]] &amp; "#" &amp; Úsporná_opatření[[#This Row],[Nejpodobnější sektor]],Emiskoef,3,FALSE)</f>
        <v>1.1482742600397113</v>
      </c>
      <c r="U34" s="7">
        <f>VLOOKUP(Úsporná_opatření[[#This Row],[Šetřený nositel energie]] &amp; "#" &amp; Úsporná_opatření[[#This Row],[Nejpodobnější sektor]],Emiskoef,4,FALSE)</f>
        <v>1.1201869273631482</v>
      </c>
      <c r="V34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4" s="4">
        <f>1000*Úsporná_opatření[[#This Row],[Investice '[Kč/GJ']]]/Úsporná_opatření[[#This Row],[Emisní koeficient CO2 eq '[kg/GJ']]]</f>
        <v>138607.65666068374</v>
      </c>
      <c r="X34" s="7" t="s">
        <v>352</v>
      </c>
    </row>
    <row r="35" spans="2:24" x14ac:dyDescent="0.25">
      <c r="B35" s="3" t="s">
        <v>311</v>
      </c>
      <c r="C35" s="3" t="s">
        <v>1</v>
      </c>
      <c r="D35" s="3" t="s">
        <v>217</v>
      </c>
      <c r="E35" s="3" t="str">
        <f>CONCATENATE(Úsporná_opatření[[#This Row],[Sektor]],Úsporná_opatření[[#This Row],[Opatření]])</f>
        <v>veřejná správaInstalace fototermických systémů (pro výrobu tepla)</v>
      </c>
      <c r="F35" s="4">
        <v>13207.76518426527</v>
      </c>
      <c r="G35" s="11">
        <f>VLOOKUP(Úsporná_opatření[[#This Row],[Opatření podrobně]],Potenciál_opatření!$A$1:$C$191,3,0)</f>
        <v>0.52</v>
      </c>
      <c r="H35" s="13">
        <f>Úsporná_opatření[[#This Row],[Potenciál úspor energie v TJ]]*Úsporná_opatření[[#This Row],[Investice '[Kč/GJ']]]*1000</f>
        <v>2928455734.5085578</v>
      </c>
      <c r="I35" s="13">
        <f>Úsporná_opatření[[#This Row],[Podíl dotace '[%']]]*Úsporná_opatření[[#This Row],[Investice]]</f>
        <v>1522796981.9444501</v>
      </c>
      <c r="J35" s="3">
        <v>25</v>
      </c>
      <c r="K35" s="12">
        <f>VLOOKUP(Úsporná_opatření[[#This Row],[Opatření podrobně]],Potenciál_opatření!$A$1:$C$191,2,0)</f>
        <v>221.72227425706339</v>
      </c>
      <c r="L35" s="3">
        <v>20</v>
      </c>
      <c r="M35" s="3" t="s">
        <v>13</v>
      </c>
      <c r="N35" s="3" t="s">
        <v>8</v>
      </c>
      <c r="O35" s="4">
        <f>Úsporná_opatření[[#This Row],[Potenciál úspor energie v TJ]]*Úsporná_opatření[[#This Row],[Emisní koeficient CO2 '[kg/GJ']]]</f>
        <v>21047.282774122759</v>
      </c>
      <c r="P35" s="4">
        <f>Úsporná_opatření[[#This Row],[Potenciál úspor energie v TJ]]*Úsporná_opatření[[#This Row],[Emisní koeficient CH4 '[g/GJ']]]</f>
        <v>254.59798040685141</v>
      </c>
      <c r="Q35" s="4">
        <f>Úsporná_opatření[[#This Row],[Potenciál úspor energie v TJ]]*Úsporná_opatření[[#This Row],[Emisní koeficient N2O '[g/GJ']]]</f>
        <v>248.37039312798908</v>
      </c>
      <c r="R35" s="4">
        <f>Úsporná_opatření[[#This Row],[Potenciál úspor energie v TJ]]*Úsporná_opatření[[#This Row],[Emisní koeficient CO2 eq '[kg/GJ']]]</f>
        <v>21127.662100785074</v>
      </c>
      <c r="S35" s="7">
        <f>VLOOKUP(Úsporná_opatření[[#This Row],[Šetřený nositel energie]] &amp; "#" &amp; Úsporná_opatření[[#This Row],[Nejpodobnější sektor]],Emiskoef,2,FALSE)</f>
        <v>94.926334508551335</v>
      </c>
      <c r="T35" s="7">
        <f>VLOOKUP(Úsporná_opatření[[#This Row],[Šetřený nositel energie]] &amp; "#" &amp; Úsporná_opatření[[#This Row],[Nejpodobnější sektor]],Emiskoef,3,FALSE)</f>
        <v>1.1482742600397113</v>
      </c>
      <c r="U35" s="7">
        <f>VLOOKUP(Úsporná_opatření[[#This Row],[Šetřený nositel energie]] &amp; "#" &amp; Úsporná_opatření[[#This Row],[Nejpodobnější sektor]],Emiskoef,4,FALSE)</f>
        <v>1.1201869273631482</v>
      </c>
      <c r="V35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5" s="4">
        <f>1000*Úsporná_opatření[[#This Row],[Investice '[Kč/GJ']]]/Úsporná_opatření[[#This Row],[Emisní koeficient CO2 eq '[kg/GJ']]]</f>
        <v>138607.65666068374</v>
      </c>
      <c r="X35" s="7" t="s">
        <v>352</v>
      </c>
    </row>
    <row r="36" spans="2:24" x14ac:dyDescent="0.25">
      <c r="B36" s="3" t="s">
        <v>7</v>
      </c>
      <c r="C36" s="3" t="s">
        <v>1</v>
      </c>
      <c r="D36" s="3" t="s">
        <v>223</v>
      </c>
      <c r="E36" s="3" t="str">
        <f>CONCATENATE(Úsporná_opatření[[#This Row],[Sektor]],Úsporná_opatření[[#This Row],[Opatření]])</f>
        <v>DomácnostiInstalace fototermických systémů (pro výrobu tepla)</v>
      </c>
      <c r="F36" s="4">
        <v>14635.754222145368</v>
      </c>
      <c r="G36" s="11">
        <f>VLOOKUP(Úsporná_opatření[[#This Row],[Opatření podrobně]],Potenciál_opatření!$A$1:$C$191,3,0)</f>
        <v>0.52</v>
      </c>
      <c r="H36" s="13">
        <f>Úsporná_opatření[[#This Row],[Potenciál úspor energie v TJ]]*Úsporná_opatření[[#This Row],[Investice '[Kč/GJ']]]*1000</f>
        <v>29778536720.987453</v>
      </c>
      <c r="I36" s="13">
        <f>Úsporná_opatření[[#This Row],[Podíl dotace '[%']]]*Úsporná_opatření[[#This Row],[Investice]]</f>
        <v>15484839094.913477</v>
      </c>
      <c r="J36" s="3">
        <v>25</v>
      </c>
      <c r="K36" s="12">
        <f>VLOOKUP(Úsporná_opatření[[#This Row],[Opatření podrobně]],Potenciál_opatření!$A$1:$C$191,2,0)</f>
        <v>2034.6431259367237</v>
      </c>
      <c r="L36" s="3">
        <v>20</v>
      </c>
      <c r="M36" s="3" t="s">
        <v>13</v>
      </c>
      <c r="N36" s="3" t="s">
        <v>7</v>
      </c>
      <c r="O36" s="4">
        <f>Úsporná_opatření[[#This Row],[Potenciál úspor energie v TJ]]*Úsporná_opatření[[#This Row],[Emisní koeficient CO2 '[kg/GJ']]]</f>
        <v>193141.21397819396</v>
      </c>
      <c r="P36" s="4">
        <f>Úsporná_opatření[[#This Row],[Potenciál úspor energie v TJ]]*Úsporná_opatření[[#This Row],[Emisní koeficient CH4 '[g/GJ']]]</f>
        <v>2336.3283298798765</v>
      </c>
      <c r="Q36" s="4">
        <f>Úsporná_opatření[[#This Row],[Potenciál úspor energie v TJ]]*Úsporná_opatření[[#This Row],[Emisní koeficient N2O '[g/GJ']]]</f>
        <v>2279.1806315236095</v>
      </c>
      <c r="R36" s="4">
        <f>Úsporná_opatření[[#This Row],[Potenciál úspor energie v TJ]]*Úsporná_opatření[[#This Row],[Emisní koeficient CO2 eq '[kg/GJ']]]</f>
        <v>193878.81801463501</v>
      </c>
      <c r="S36" s="7">
        <f>VLOOKUP(Úsporná_opatření[[#This Row],[Šetřený nositel energie]] &amp; "#" &amp; Úsporná_opatření[[#This Row],[Nejpodobnější sektor]],Emiskoef,2,FALSE)</f>
        <v>94.926334508551335</v>
      </c>
      <c r="T36" s="7">
        <f>VLOOKUP(Úsporná_opatření[[#This Row],[Šetřený nositel energie]] &amp; "#" &amp; Úsporná_opatření[[#This Row],[Nejpodobnější sektor]],Emiskoef,3,FALSE)</f>
        <v>1.1482742600397113</v>
      </c>
      <c r="U36" s="7">
        <f>VLOOKUP(Úsporná_opatření[[#This Row],[Šetřený nositel energie]] &amp; "#" &amp; Úsporná_opatření[[#This Row],[Nejpodobnější sektor]],Emiskoef,4,FALSE)</f>
        <v>1.1201869273631482</v>
      </c>
      <c r="V36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6" s="4">
        <f>1000*Úsporná_opatření[[#This Row],[Investice '[Kč/GJ']]]/Úsporná_opatření[[#This Row],[Emisní koeficient CO2 eq '[kg/GJ']]]</f>
        <v>153593.55408665433</v>
      </c>
      <c r="X36" s="7" t="s">
        <v>352</v>
      </c>
    </row>
    <row r="37" spans="2:24" x14ac:dyDescent="0.25">
      <c r="B37" s="3" t="s">
        <v>19</v>
      </c>
      <c r="C37" s="3" t="s">
        <v>1</v>
      </c>
      <c r="D37" s="3" t="s">
        <v>228</v>
      </c>
      <c r="E37" s="3" t="str">
        <f>CONCATENATE(Úsporná_opatření[[#This Row],[Sektor]],Úsporná_opatření[[#This Row],[Opatření]])</f>
        <v>DopravaInstalace fototermických systémů (pro výrobu tepla)</v>
      </c>
      <c r="F37" s="4">
        <v>15279.825926566371</v>
      </c>
      <c r="G37" s="11">
        <f>VLOOKUP(Úsporná_opatření[[#This Row],[Opatření podrobně]],Potenciál_opatření!$A$1:$C$191,3,0)</f>
        <v>0.8</v>
      </c>
      <c r="H37" s="13">
        <f>Úsporná_opatření[[#This Row],[Potenciál úspor energie v TJ]]*Úsporná_opatření[[#This Row],[Investice '[Kč/GJ']]]*1000</f>
        <v>73527000.597806484</v>
      </c>
      <c r="I37" s="13">
        <f>Úsporná_opatření[[#This Row],[Podíl dotace '[%']]]*Úsporná_opatření[[#This Row],[Investice]]</f>
        <v>58821600.478245191</v>
      </c>
      <c r="J37" s="3">
        <v>25</v>
      </c>
      <c r="K37" s="12">
        <f>VLOOKUP(Úsporná_opatření[[#This Row],[Opatření podrobně]],Potenciál_opatření!$A$1:$C$191,2,0)</f>
        <v>4.8120312987315046</v>
      </c>
      <c r="L37" s="3">
        <v>20</v>
      </c>
      <c r="M37" s="3" t="s">
        <v>13</v>
      </c>
      <c r="N37" s="3" t="s">
        <v>19</v>
      </c>
      <c r="O37" s="4">
        <f>Úsporná_opatření[[#This Row],[Potenciál úspor energie v TJ]]*Úsporná_opatření[[#This Row],[Emisní koeficient CO2 '[kg/GJ']]]</f>
        <v>456.7884927290055</v>
      </c>
      <c r="P37" s="4">
        <f>Úsporná_opatření[[#This Row],[Potenciál úspor energie v TJ]]*Úsporná_opatření[[#This Row],[Emisní koeficient CH4 '[g/GJ']]]</f>
        <v>5.52553167883885</v>
      </c>
      <c r="Q37" s="4">
        <f>Úsporná_opatření[[#This Row],[Potenciál úspor energie v TJ]]*Úsporná_opatření[[#This Row],[Emisní koeficient N2O '[g/GJ']]]</f>
        <v>5.3903745549013431</v>
      </c>
      <c r="R37" s="4">
        <f>Úsporná_opatření[[#This Row],[Potenciál úspor energie v TJ]]*Úsporná_opatření[[#This Row],[Emisní koeficient CO2 eq '[kg/GJ']]]</f>
        <v>458.5329626383371</v>
      </c>
      <c r="S37" s="7">
        <f>VLOOKUP(Úsporná_opatření[[#This Row],[Šetřený nositel energie]] &amp; "#" &amp; Úsporná_opatření[[#This Row],[Nejpodobnější sektor]],Emiskoef,2,FALSE)</f>
        <v>94.926334508551335</v>
      </c>
      <c r="T37" s="7">
        <f>VLOOKUP(Úsporná_opatření[[#This Row],[Šetřený nositel energie]] &amp; "#" &amp; Úsporná_opatření[[#This Row],[Nejpodobnější sektor]],Emiskoef,3,FALSE)</f>
        <v>1.1482742600397113</v>
      </c>
      <c r="U37" s="7">
        <f>VLOOKUP(Úsporná_opatření[[#This Row],[Šetřený nositel energie]] &amp; "#" &amp; Úsporná_opatření[[#This Row],[Nejpodobnější sektor]],Emiskoef,4,FALSE)</f>
        <v>1.1201869273631482</v>
      </c>
      <c r="V37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7" s="4">
        <f>1000*Úsporná_opatření[[#This Row],[Investice '[Kč/GJ']]]/Úsporná_opatření[[#This Row],[Emisní koeficient CO2 eq '[kg/GJ']]]</f>
        <v>160352.7043611914</v>
      </c>
      <c r="X37" s="7" t="s">
        <v>352</v>
      </c>
    </row>
    <row r="38" spans="2:24" x14ac:dyDescent="0.25">
      <c r="B38" s="3" t="s">
        <v>42</v>
      </c>
      <c r="C38" s="3" t="s">
        <v>1</v>
      </c>
      <c r="D38" s="3" t="s">
        <v>245</v>
      </c>
      <c r="E38" s="3" t="str">
        <f>CONCATENATE(Úsporná_opatření[[#This Row],[Sektor]],Úsporná_opatření[[#This Row],[Opatření]])</f>
        <v>ZemědělstvíInstalace fototermických systémů (pro výrobu tepla)</v>
      </c>
      <c r="F38" s="4">
        <v>18137.390680102075</v>
      </c>
      <c r="G38" s="11">
        <f>VLOOKUP(Úsporná_opatření[[#This Row],[Opatření podrobně]],Potenciál_opatření!$A$1:$C$191,3,0)</f>
        <v>0.8214285714285714</v>
      </c>
      <c r="H38" s="13">
        <f>Úsporná_opatření[[#This Row],[Potenciál úspor energie v TJ]]*Úsporná_opatření[[#This Row],[Investice '[Kč/GJ']]]*1000</f>
        <v>676177625.8227241</v>
      </c>
      <c r="I38" s="13">
        <f>Úsporná_opatření[[#This Row],[Podíl dotace '[%']]]*Úsporná_opatření[[#This Row],[Investice]]</f>
        <v>555431621.21152329</v>
      </c>
      <c r="J38" s="3">
        <v>28</v>
      </c>
      <c r="K38" s="12">
        <f>VLOOKUP(Úsporná_opatření[[#This Row],[Opatření podrobně]],Potenciál_opatření!$A$1:$C$191,2,0)</f>
        <v>37.280865685080926</v>
      </c>
      <c r="L38" s="3">
        <v>20</v>
      </c>
      <c r="M38" s="3" t="s">
        <v>13</v>
      </c>
      <c r="N38" s="3" t="s">
        <v>4</v>
      </c>
      <c r="O38" s="4">
        <f>Úsporná_opatření[[#This Row],[Potenciál úspor energie v TJ]]*Úsporná_opatření[[#This Row],[Emisní koeficient CO2 '[kg/GJ']]]</f>
        <v>3538.9359267903646</v>
      </c>
      <c r="P38" s="4">
        <f>Úsporná_opatření[[#This Row],[Potenciál úspor energie v TJ]]*Úsporná_opatření[[#This Row],[Emisní koeficient CH4 '[g/GJ']]]</f>
        <v>42.808658458176168</v>
      </c>
      <c r="Q38" s="4">
        <f>Úsporná_opatření[[#This Row],[Potenciál úspor energie v TJ]]*Úsporná_opatření[[#This Row],[Emisní koeficient N2O '[g/GJ']]]</f>
        <v>41.761538381209029</v>
      </c>
      <c r="R38" s="4">
        <f>Úsporná_opatření[[#This Row],[Potenciál úspor energie v TJ]]*Úsporná_opatření[[#This Row],[Emisní koeficient CO2 eq '[kg/GJ']]]</f>
        <v>3552.4510816894194</v>
      </c>
      <c r="S38" s="7">
        <f>VLOOKUP(Úsporná_opatření[[#This Row],[Šetřený nositel energie]] &amp; "#" &amp; Úsporná_opatření[[#This Row],[Nejpodobnější sektor]],Emiskoef,2,FALSE)</f>
        <v>94.926334508551335</v>
      </c>
      <c r="T38" s="7">
        <f>VLOOKUP(Úsporná_opatření[[#This Row],[Šetřený nositel energie]] &amp; "#" &amp; Úsporná_opatření[[#This Row],[Nejpodobnější sektor]],Emiskoef,3,FALSE)</f>
        <v>1.1482742600397113</v>
      </c>
      <c r="U38" s="7">
        <f>VLOOKUP(Úsporná_opatření[[#This Row],[Šetřený nositel energie]] &amp; "#" &amp; Úsporná_opatření[[#This Row],[Nejpodobnější sektor]],Emiskoef,4,FALSE)</f>
        <v>1.1201869273631482</v>
      </c>
      <c r="V38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8" s="4">
        <f>1000*Úsporná_opatření[[#This Row],[Investice '[Kč/GJ']]]/Úsporná_opatření[[#This Row],[Emisní koeficient CO2 eq '[kg/GJ']]]</f>
        <v>190341.15045467651</v>
      </c>
      <c r="X38" s="7" t="s">
        <v>353</v>
      </c>
    </row>
    <row r="39" spans="2:24" x14ac:dyDescent="0.25">
      <c r="B39" s="3" t="s">
        <v>6</v>
      </c>
      <c r="C39" s="3" t="s">
        <v>1</v>
      </c>
      <c r="D39" s="3" t="s">
        <v>246</v>
      </c>
      <c r="E39" s="3" t="str">
        <f>CONCATENATE(Úsporná_opatření[[#This Row],[Sektor]],Úsporná_opatření[[#This Row],[Opatření]])</f>
        <v>SlužbyInstalace fototermických systémů (pro výrobu tepla)</v>
      </c>
      <c r="F39" s="4">
        <v>18137.390680102075</v>
      </c>
      <c r="G39" s="11">
        <f>VLOOKUP(Úsporná_opatření[[#This Row],[Opatření podrobně]],Potenciál_opatření!$A$1:$C$191,3,0)</f>
        <v>0.8214285714285714</v>
      </c>
      <c r="H39" s="13">
        <f>Úsporná_opatření[[#This Row],[Potenciál úspor energie v TJ]]*Úsporná_opatření[[#This Row],[Investice '[Kč/GJ']]]*1000</f>
        <v>2875343182.3388681</v>
      </c>
      <c r="I39" s="13">
        <f>Úsporná_opatření[[#This Row],[Podíl dotace '[%']]]*Úsporná_opatření[[#This Row],[Investice]]</f>
        <v>2361889042.6354985</v>
      </c>
      <c r="J39" s="3">
        <v>28</v>
      </c>
      <c r="K39" s="12">
        <f>VLOOKUP(Úsporná_opatření[[#This Row],[Opatření podrobně]],Potenciál_opatření!$A$1:$C$191,2,0)</f>
        <v>158.53124813004723</v>
      </c>
      <c r="L39" s="3">
        <v>20</v>
      </c>
      <c r="M39" s="3" t="s">
        <v>13</v>
      </c>
      <c r="N39" s="3" t="s">
        <v>6</v>
      </c>
      <c r="O39" s="4">
        <f>Úsporná_opatření[[#This Row],[Potenciál úspor energie v TJ]]*Úsporná_opatření[[#This Row],[Emisní koeficient CO2 '[kg/GJ']]]</f>
        <v>15048.790290051016</v>
      </c>
      <c r="P39" s="4">
        <f>Úsporná_opatření[[#This Row],[Potenciál úspor energie v TJ]]*Úsporná_opatření[[#This Row],[Emisní koeficient CH4 '[g/GJ']]]</f>
        <v>182.03735163970185</v>
      </c>
      <c r="Q39" s="4">
        <f>Úsporná_opatření[[#This Row],[Potenciál úspor energie v TJ]]*Úsporná_opatření[[#This Row],[Emisní koeficient N2O '[g/GJ']]]</f>
        <v>177.58463173384243</v>
      </c>
      <c r="R39" s="4">
        <f>Úsporná_opatření[[#This Row],[Potenciál úspor energie v TJ]]*Úsporná_opatření[[#This Row],[Emisní koeficient CO2 eq '[kg/GJ']]]</f>
        <v>15106.261444098694</v>
      </c>
      <c r="S39" s="7">
        <f>VLOOKUP(Úsporná_opatření[[#This Row],[Šetřený nositel energie]] &amp; "#" &amp; Úsporná_opatření[[#This Row],[Nejpodobnější sektor]],Emiskoef,2,FALSE)</f>
        <v>94.926334508551335</v>
      </c>
      <c r="T39" s="7">
        <f>VLOOKUP(Úsporná_opatření[[#This Row],[Šetřený nositel energie]] &amp; "#" &amp; Úsporná_opatření[[#This Row],[Nejpodobnější sektor]],Emiskoef,3,FALSE)</f>
        <v>1.1482742600397113</v>
      </c>
      <c r="U39" s="7">
        <f>VLOOKUP(Úsporná_opatření[[#This Row],[Šetřený nositel energie]] &amp; "#" &amp; Úsporná_opatření[[#This Row],[Nejpodobnější sektor]],Emiskoef,4,FALSE)</f>
        <v>1.1201869273631482</v>
      </c>
      <c r="V39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9" s="4">
        <f>1000*Úsporná_opatření[[#This Row],[Investice '[Kč/GJ']]]/Úsporná_opatření[[#This Row],[Emisní koeficient CO2 eq '[kg/GJ']]]</f>
        <v>190341.15045467651</v>
      </c>
      <c r="X39" s="7" t="s">
        <v>353</v>
      </c>
    </row>
    <row r="40" spans="2:24" x14ac:dyDescent="0.25">
      <c r="B40" s="3" t="s">
        <v>311</v>
      </c>
      <c r="C40" s="3" t="s">
        <v>1</v>
      </c>
      <c r="D40" s="3" t="s">
        <v>247</v>
      </c>
      <c r="E40" s="3" t="str">
        <f>CONCATENATE(Úsporná_opatření[[#This Row],[Sektor]],Úsporná_opatření[[#This Row],[Opatření]])</f>
        <v>veřejná správaInstalace fototermických systémů (pro výrobu tepla)</v>
      </c>
      <c r="F40" s="4">
        <v>18137.390680102075</v>
      </c>
      <c r="G40" s="11">
        <f>VLOOKUP(Úsporná_opatření[[#This Row],[Opatření podrobně]],Potenciál_opatření!$A$1:$C$191,3,0)</f>
        <v>0.5714285714285714</v>
      </c>
      <c r="H40" s="13">
        <f>Úsporná_opatření[[#This Row],[Potenciál úspor energie v TJ]]*Úsporná_opatření[[#This Row],[Investice '[Kč/GJ']]]*1000</f>
        <v>2815024457.4767685</v>
      </c>
      <c r="I40" s="13">
        <f>Úsporná_opatření[[#This Row],[Podíl dotace '[%']]]*Úsporná_opatření[[#This Row],[Investice]]</f>
        <v>1608585404.272439</v>
      </c>
      <c r="J40" s="3">
        <v>28</v>
      </c>
      <c r="K40" s="12">
        <f>VLOOKUP(Úsporná_opatření[[#This Row],[Opatření podrobně]],Potenciál_opatření!$A$1:$C$191,2,0)</f>
        <v>155.20559197994439</v>
      </c>
      <c r="L40" s="3">
        <v>20</v>
      </c>
      <c r="M40" s="3" t="s">
        <v>13</v>
      </c>
      <c r="N40" s="3" t="s">
        <v>8</v>
      </c>
      <c r="O40" s="4">
        <f>Úsporná_opatření[[#This Row],[Potenciál úspor energie v TJ]]*Úsporná_opatření[[#This Row],[Emisní koeficient CO2 '[kg/GJ']]]</f>
        <v>14733.097941885933</v>
      </c>
      <c r="P40" s="4">
        <f>Úsporná_opatření[[#This Row],[Potenciál úspor energie v TJ]]*Úsporná_opatření[[#This Row],[Emisní koeficient CH4 '[g/GJ']]]</f>
        <v>178.218586284796</v>
      </c>
      <c r="Q40" s="4">
        <f>Úsporná_opatření[[#This Row],[Potenciál úspor energie v TJ]]*Úsporná_opatření[[#This Row],[Emisní koeficient N2O '[g/GJ']]]</f>
        <v>173.85927518959238</v>
      </c>
      <c r="R40" s="4">
        <f>Úsporná_opatření[[#This Row],[Potenciál úspor energie v TJ]]*Úsporná_opatření[[#This Row],[Emisní koeficient CO2 eq '[kg/GJ']]]</f>
        <v>14789.363470549551</v>
      </c>
      <c r="S40" s="7">
        <f>VLOOKUP(Úsporná_opatření[[#This Row],[Šetřený nositel energie]] &amp; "#" &amp; Úsporná_opatření[[#This Row],[Nejpodobnější sektor]],Emiskoef,2,FALSE)</f>
        <v>94.926334508551335</v>
      </c>
      <c r="T40" s="7">
        <f>VLOOKUP(Úsporná_opatření[[#This Row],[Šetřený nositel energie]] &amp; "#" &amp; Úsporná_opatření[[#This Row],[Nejpodobnější sektor]],Emiskoef,3,FALSE)</f>
        <v>1.1482742600397113</v>
      </c>
      <c r="U40" s="7">
        <f>VLOOKUP(Úsporná_opatření[[#This Row],[Šetřený nositel energie]] &amp; "#" &amp; Úsporná_opatření[[#This Row],[Nejpodobnější sektor]],Emiskoef,4,FALSE)</f>
        <v>1.1201869273631482</v>
      </c>
      <c r="V40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40" s="4">
        <f>1000*Úsporná_opatření[[#This Row],[Investice '[Kč/GJ']]]/Úsporná_opatření[[#This Row],[Emisní koeficient CO2 eq '[kg/GJ']]]</f>
        <v>190341.15045467651</v>
      </c>
      <c r="X40" s="7" t="s">
        <v>353</v>
      </c>
    </row>
    <row r="41" spans="2:24" x14ac:dyDescent="0.25">
      <c r="B41" s="3" t="s">
        <v>19</v>
      </c>
      <c r="C41" s="3" t="s">
        <v>1</v>
      </c>
      <c r="D41" s="3" t="s">
        <v>253</v>
      </c>
      <c r="E41" s="3" t="str">
        <f>CONCATENATE(Úsporná_opatření[[#This Row],[Sektor]],Úsporná_opatření[[#This Row],[Opatření]])</f>
        <v>DopravaInstalace fototermických systémů (pro výrobu tepla)</v>
      </c>
      <c r="F41" s="4">
        <v>20209.451422403177</v>
      </c>
      <c r="G41" s="11">
        <f>VLOOKUP(Úsporná_opatření[[#This Row],[Opatření podrobně]],Potenciál_opatření!$A$1:$C$191,3,0)</f>
        <v>0.8214285714285714</v>
      </c>
      <c r="H41" s="13">
        <f>Úsporná_opatření[[#This Row],[Potenciál úspor energie v TJ]]*Úsporná_opatření[[#This Row],[Investice '[Kč/GJ']]]*1000</f>
        <v>68073958.942358598</v>
      </c>
      <c r="I41" s="13">
        <f>Úsporná_opatření[[#This Row],[Podíl dotace '[%']]]*Úsporná_opatření[[#This Row],[Investice]]</f>
        <v>55917894.845508844</v>
      </c>
      <c r="J41" s="3">
        <v>28</v>
      </c>
      <c r="K41" s="12">
        <f>VLOOKUP(Úsporná_opatření[[#This Row],[Opatření podrobně]],Potenciál_opatření!$A$1:$C$191,2,0)</f>
        <v>3.3684219091120524</v>
      </c>
      <c r="L41" s="3">
        <v>20</v>
      </c>
      <c r="M41" s="3" t="s">
        <v>13</v>
      </c>
      <c r="N41" s="3" t="s">
        <v>19</v>
      </c>
      <c r="O41" s="4">
        <f>Úsporná_opatření[[#This Row],[Potenciál úspor energie v TJ]]*Úsporná_opatření[[#This Row],[Emisní koeficient CO2 '[kg/GJ']]]</f>
        <v>319.75194491030379</v>
      </c>
      <c r="P41" s="4">
        <f>Úsporná_opatření[[#This Row],[Potenciál úspor energie v TJ]]*Úsporná_opatření[[#This Row],[Emisní koeficient CH4 '[g/GJ']]]</f>
        <v>3.8678721751871938</v>
      </c>
      <c r="Q41" s="4">
        <f>Úsporná_opatření[[#This Row],[Potenciál úspor energie v TJ]]*Úsporná_opatření[[#This Row],[Emisní koeficient N2O '[g/GJ']]]</f>
        <v>3.7732621884309396</v>
      </c>
      <c r="R41" s="4">
        <f>Úsporná_opatření[[#This Row],[Potenciál úspor energie v TJ]]*Úsporná_opatření[[#This Row],[Emisní koeficient CO2 eq '[kg/GJ']]]</f>
        <v>320.97307384683592</v>
      </c>
      <c r="S41" s="7">
        <f>VLOOKUP(Úsporná_opatření[[#This Row],[Šetřený nositel energie]] &amp; "#" &amp; Úsporná_opatření[[#This Row],[Nejpodobnější sektor]],Emiskoef,2,FALSE)</f>
        <v>94.926334508551335</v>
      </c>
      <c r="T41" s="7">
        <f>VLOOKUP(Úsporná_opatření[[#This Row],[Šetřený nositel energie]] &amp; "#" &amp; Úsporná_opatření[[#This Row],[Nejpodobnější sektor]],Emiskoef,3,FALSE)</f>
        <v>1.1482742600397113</v>
      </c>
      <c r="U41" s="7">
        <f>VLOOKUP(Úsporná_opatření[[#This Row],[Šetřený nositel energie]] &amp; "#" &amp; Úsporná_opatření[[#This Row],[Nejpodobnější sektor]],Emiskoef,4,FALSE)</f>
        <v>1.1201869273631482</v>
      </c>
      <c r="V41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41" s="4">
        <f>1000*Úsporná_opatření[[#This Row],[Investice '[Kč/GJ']]]/Úsporná_opatření[[#This Row],[Emisní koeficient CO2 eq '[kg/GJ']]]</f>
        <v>212086.19815518416</v>
      </c>
      <c r="X41" s="7" t="s">
        <v>353</v>
      </c>
    </row>
    <row r="42" spans="2:24" x14ac:dyDescent="0.25">
      <c r="B42" s="3" t="s">
        <v>7</v>
      </c>
      <c r="C42" s="3" t="s">
        <v>1</v>
      </c>
      <c r="D42" s="3" t="s">
        <v>262</v>
      </c>
      <c r="E42" s="3" t="str">
        <f>CONCATENATE(Úsporná_opatření[[#This Row],[Sektor]],Úsporná_opatření[[#This Row],[Opatření]])</f>
        <v>DomácnostiInstalace fototermických systémů (pro výrobu tepla)</v>
      </c>
      <c r="F42" s="4">
        <v>22288.345149576344</v>
      </c>
      <c r="G42" s="11">
        <f>VLOOKUP(Úsporná_opatření[[#This Row],[Opatření podrobně]],Potenciál_opatření!$A$1:$C$191,3,0)</f>
        <v>0.5714285714285714</v>
      </c>
      <c r="H42" s="13">
        <f>Úsporná_opatření[[#This Row],[Potenciál úspor energie v TJ]]*Úsporná_opatření[[#This Row],[Investice '[Kč/GJ']]]*1000</f>
        <v>31744179772.963436</v>
      </c>
      <c r="I42" s="13">
        <f>Úsporná_opatření[[#This Row],[Podíl dotace '[%']]]*Úsporná_opatření[[#This Row],[Investice]]</f>
        <v>18139531298.836246</v>
      </c>
      <c r="J42" s="3">
        <v>28</v>
      </c>
      <c r="K42" s="12">
        <f>VLOOKUP(Úsporná_opatření[[#This Row],[Opatření podrobně]],Potenciál_opatření!$A$1:$C$191,2,0)</f>
        <v>1424.2501881557064</v>
      </c>
      <c r="L42" s="3">
        <v>20</v>
      </c>
      <c r="M42" s="3" t="s">
        <v>13</v>
      </c>
      <c r="N42" s="3" t="s">
        <v>7</v>
      </c>
      <c r="O42" s="4">
        <f>Úsporná_opatření[[#This Row],[Potenciál úspor energie v TJ]]*Úsporná_opatření[[#This Row],[Emisní koeficient CO2 '[kg/GJ']]]</f>
        <v>135198.84978473576</v>
      </c>
      <c r="P42" s="4">
        <f>Úsporná_opatření[[#This Row],[Potenciál úspor energie v TJ]]*Úsporná_opatření[[#This Row],[Emisní koeficient CH4 '[g/GJ']]]</f>
        <v>1635.4298309159135</v>
      </c>
      <c r="Q42" s="4">
        <f>Úsporná_opatření[[#This Row],[Potenciál úspor energie v TJ]]*Úsporná_opatření[[#This Row],[Emisní koeficient N2O '[g/GJ']]]</f>
        <v>1595.4264420665263</v>
      </c>
      <c r="R42" s="4">
        <f>Úsporná_opatření[[#This Row],[Potenciál úspor energie v TJ]]*Úsporná_opatření[[#This Row],[Emisní koeficient CO2 eq '[kg/GJ']]]</f>
        <v>135715.17261024448</v>
      </c>
      <c r="S42" s="7">
        <f>VLOOKUP(Úsporná_opatření[[#This Row],[Šetřený nositel energie]] &amp; "#" &amp; Úsporná_opatření[[#This Row],[Nejpodobnější sektor]],Emiskoef,2,FALSE)</f>
        <v>94.926334508551335</v>
      </c>
      <c r="T42" s="7">
        <f>VLOOKUP(Úsporná_opatření[[#This Row],[Šetřený nositel energie]] &amp; "#" &amp; Úsporná_opatření[[#This Row],[Nejpodobnější sektor]],Emiskoef,3,FALSE)</f>
        <v>1.1482742600397113</v>
      </c>
      <c r="U42" s="7">
        <f>VLOOKUP(Úsporná_opatření[[#This Row],[Šetřený nositel energie]] &amp; "#" &amp; Úsporná_opatření[[#This Row],[Nejpodobnější sektor]],Emiskoef,4,FALSE)</f>
        <v>1.1201869273631482</v>
      </c>
      <c r="V42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42" s="4">
        <f>1000*Úsporná_opatření[[#This Row],[Investice '[Kč/GJ']]]/Úsporná_opatření[[#This Row],[Emisní koeficient CO2 eq '[kg/GJ']]]</f>
        <v>233902.95397647543</v>
      </c>
      <c r="X42" s="7" t="s">
        <v>353</v>
      </c>
    </row>
    <row r="43" spans="2:24" x14ac:dyDescent="0.25">
      <c r="B43" s="3" t="s">
        <v>4</v>
      </c>
      <c r="C43" s="3" t="s">
        <v>0</v>
      </c>
      <c r="D43" s="3" t="s">
        <v>151</v>
      </c>
      <c r="E43" s="3" t="str">
        <f>CONCATENATE(Úsporná_opatření[[#This Row],[Sektor]],Úsporná_opatření[[#This Row],[Opatření]])</f>
        <v>PrůmyslInstalace fotovoltaických systémů (pro výrobu elektřiny)</v>
      </c>
      <c r="F43" s="4">
        <v>4750</v>
      </c>
      <c r="G43" s="11">
        <f>VLOOKUP(Úsporná_opatření[[#This Row],[Opatření podrobně]],Potenciál_opatření!$A$1:$C$191,3,0)</f>
        <v>0.5</v>
      </c>
      <c r="H43" s="13">
        <f>Úsporná_opatření[[#This Row],[Potenciál úspor energie v TJ]]*Úsporná_opatření[[#This Row],[Investice '[Kč/GJ']]]*1000</f>
        <v>1617997106.6878037</v>
      </c>
      <c r="I43" s="13">
        <f>Úsporná_opatření[[#This Row],[Podíl dotace '[%']]]*Úsporná_opatření[[#This Row],[Investice]]</f>
        <v>808998553.34390187</v>
      </c>
      <c r="J43" s="3">
        <v>10</v>
      </c>
      <c r="K43" s="12">
        <f>VLOOKUP(Úsporná_opatření[[#This Row],[Opatření podrobně]],Potenciál_opatření!$A$1:$C$191,2,0)</f>
        <v>340.63096982901129</v>
      </c>
      <c r="L43" s="3">
        <v>20</v>
      </c>
      <c r="M43" s="3" t="s">
        <v>12</v>
      </c>
      <c r="N43" s="3" t="s">
        <v>4</v>
      </c>
      <c r="O43" s="4">
        <f>Úsporná_opatření[[#This Row],[Potenciál úspor energie v TJ]]*Úsporná_opatření[[#This Row],[Emisní koeficient CO2 '[kg/GJ']]]</f>
        <v>82877.339719419222</v>
      </c>
      <c r="P43" s="4">
        <f>Úsporná_opatření[[#This Row],[Potenciál úspor energie v TJ]]*Úsporná_opatření[[#This Row],[Emisní koeficient CH4 '[g/GJ']]]</f>
        <v>885.44220819747397</v>
      </c>
      <c r="Q43" s="4">
        <f>Úsporná_opatření[[#This Row],[Potenciál úspor energie v TJ]]*Úsporná_opatření[[#This Row],[Emisní koeficient N2O '[g/GJ']]]</f>
        <v>1162.2316113744505</v>
      </c>
      <c r="R43" s="4">
        <f>Úsporná_opatření[[#This Row],[Potenciál úspor energie v TJ]]*Úsporná_opatření[[#This Row],[Emisní koeficient CO2 eq '[kg/GJ']]]</f>
        <v>83245.820794813742</v>
      </c>
      <c r="S43" s="7">
        <f>VLOOKUP(Úsporná_opatření[[#This Row],[Šetřený nositel energie]] &amp; "#" &amp; Úsporná_opatření[[#This Row],[Nejpodobnější sektor]],Emiskoef,2,FALSE)</f>
        <v>243.30535699975164</v>
      </c>
      <c r="T43" s="7">
        <f>VLOOKUP(Úsporná_opatření[[#This Row],[Šetřený nositel energie]] &amp; "#" &amp; Úsporná_opatření[[#This Row],[Nejpodobnější sektor]],Emiskoef,3,FALSE)</f>
        <v>2.5994178058499644</v>
      </c>
      <c r="U43" s="7">
        <f>VLOOKUP(Úsporná_opatření[[#This Row],[Šetřený nositel energie]] &amp; "#" &amp; Úsporná_opatření[[#This Row],[Nejpodobnější sektor]],Emiskoef,4,FALSE)</f>
        <v>3.4119963077868793</v>
      </c>
      <c r="V4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3" s="4">
        <f>1000*Úsporná_opatření[[#This Row],[Investice '[Kč/GJ']]]/Úsporná_opatření[[#This Row],[Emisní koeficient CO2 eq '[kg/GJ']]]</f>
        <v>19436.376399914188</v>
      </c>
      <c r="X43" s="7" t="s">
        <v>351</v>
      </c>
    </row>
    <row r="44" spans="2:24" x14ac:dyDescent="0.25">
      <c r="B44" s="3" t="s">
        <v>19</v>
      </c>
      <c r="C44" s="3" t="s">
        <v>0</v>
      </c>
      <c r="D44" s="3" t="s">
        <v>157</v>
      </c>
      <c r="E44" s="3" t="str">
        <f>CONCATENATE(Úsporná_opatření[[#This Row],[Sektor]],Úsporná_opatření[[#This Row],[Opatření]])</f>
        <v>DopravaInstalace fotovoltaických systémů (pro výrobu elektřiny)</v>
      </c>
      <c r="F44" s="4">
        <v>5700</v>
      </c>
      <c r="G44" s="11">
        <f>VLOOKUP(Úsporná_opatření[[#This Row],[Opatření podrobně]],Potenciál_opatření!$A$1:$C$191,3,0)</f>
        <v>0.5</v>
      </c>
      <c r="H44" s="13">
        <f>Úsporná_opatření[[#This Row],[Potenciál úspor energie v TJ]]*Úsporná_opatření[[#This Row],[Investice '[Kč/GJ']]]*1000</f>
        <v>12378802.386230018</v>
      </c>
      <c r="I44" s="13">
        <f>Úsporná_opatření[[#This Row],[Podíl dotace '[%']]]*Úsporná_opatření[[#This Row],[Investice]]</f>
        <v>6189401.193115009</v>
      </c>
      <c r="J44" s="3">
        <v>10</v>
      </c>
      <c r="K44" s="12">
        <f>VLOOKUP(Úsporná_opatření[[#This Row],[Opatření podrobně]],Potenciál_opatření!$A$1:$C$191,2,0)</f>
        <v>2.1717197168824591</v>
      </c>
      <c r="L44" s="3">
        <v>20</v>
      </c>
      <c r="M44" s="3" t="s">
        <v>12</v>
      </c>
      <c r="N44" s="3" t="s">
        <v>19</v>
      </c>
      <c r="O44" s="4">
        <f>Úsporná_opatření[[#This Row],[Potenciál úspor energie v TJ]]*Úsporná_opatření[[#This Row],[Emisní koeficient CO2 '[kg/GJ']]]</f>
        <v>528.39104101948624</v>
      </c>
      <c r="P44" s="4">
        <f>Úsporná_opatření[[#This Row],[Potenciál úspor energie v TJ]]*Úsporná_opatření[[#This Row],[Emisní koeficient CH4 '[g/GJ']]]</f>
        <v>5.6452069013797077</v>
      </c>
      <c r="Q44" s="4">
        <f>Úsporná_opatření[[#This Row],[Potenciál úspor energie v TJ]]*Úsporná_opatření[[#This Row],[Emisní koeficient N2O '[g/GJ']]]</f>
        <v>7.4098996555509178</v>
      </c>
      <c r="R44" s="4">
        <f>Úsporná_opatření[[#This Row],[Potenciál úspor energie v TJ]]*Úsporná_opatření[[#This Row],[Emisní koeficient CO2 eq '[kg/GJ']]]</f>
        <v>530.74032128937495</v>
      </c>
      <c r="S44" s="7">
        <f>VLOOKUP(Úsporná_opatření[[#This Row],[Šetřený nositel energie]] &amp; "#" &amp; Úsporná_opatření[[#This Row],[Nejpodobnější sektor]],Emiskoef,2,FALSE)</f>
        <v>243.30535699975164</v>
      </c>
      <c r="T44" s="7">
        <f>VLOOKUP(Úsporná_opatření[[#This Row],[Šetřený nositel energie]] &amp; "#" &amp; Úsporná_opatření[[#This Row],[Nejpodobnější sektor]],Emiskoef,3,FALSE)</f>
        <v>2.5994178058499644</v>
      </c>
      <c r="U44" s="7">
        <f>VLOOKUP(Úsporná_opatření[[#This Row],[Šetřený nositel energie]] &amp; "#" &amp; Úsporná_opatření[[#This Row],[Nejpodobnější sektor]],Emiskoef,4,FALSE)</f>
        <v>3.4119963077868793</v>
      </c>
      <c r="V4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4" s="4">
        <f>1000*Úsporná_opatření[[#This Row],[Investice '[Kč/GJ']]]/Úsporná_opatření[[#This Row],[Emisní koeficient CO2 eq '[kg/GJ']]]</f>
        <v>23323.651679897026</v>
      </c>
      <c r="X44" s="7" t="s">
        <v>351</v>
      </c>
    </row>
    <row r="45" spans="2:24" x14ac:dyDescent="0.25">
      <c r="B45" s="3" t="s">
        <v>4</v>
      </c>
      <c r="C45" s="3" t="s">
        <v>0</v>
      </c>
      <c r="D45" s="3" t="s">
        <v>168</v>
      </c>
      <c r="E45" s="3" t="str">
        <f>CONCATENATE(Úsporná_opatření[[#This Row],[Sektor]],Úsporná_opatření[[#This Row],[Opatření]])</f>
        <v>PrůmyslInstalace fotovoltaických systémů (pro výrobu elektřiny)</v>
      </c>
      <c r="F45" s="4">
        <v>6650</v>
      </c>
      <c r="G45" s="11">
        <f>VLOOKUP(Úsporná_opatření[[#This Row],[Opatření podrobně]],Potenciál_opatření!$A$1:$C$191,3,0)</f>
        <v>0.73684210526315796</v>
      </c>
      <c r="H45" s="13">
        <f>Úsporná_opatření[[#This Row],[Potenciál úspor energie v TJ]]*Úsporná_opatření[[#This Row],[Investice '[Kč/GJ']]]*1000</f>
        <v>31712743291.080948</v>
      </c>
      <c r="I45" s="13">
        <f>Úsporná_opatření[[#This Row],[Podíl dotace '[%']]]*Úsporná_opatření[[#This Row],[Investice]]</f>
        <v>23367284530.270176</v>
      </c>
      <c r="J45" s="3">
        <v>19</v>
      </c>
      <c r="K45" s="12">
        <f>VLOOKUP(Úsporná_opatření[[#This Row],[Opatření podrobně]],Potenciál_opatření!$A$1:$C$191,2,0)</f>
        <v>4768.8335776061576</v>
      </c>
      <c r="L45" s="3">
        <v>20</v>
      </c>
      <c r="M45" s="3" t="s">
        <v>12</v>
      </c>
      <c r="N45" s="3" t="s">
        <v>4</v>
      </c>
      <c r="O45" s="4">
        <f>Úsporná_opatření[[#This Row],[Potenciál úspor energie v TJ]]*Úsporná_opatření[[#This Row],[Emisní koeficient CO2 '[kg/GJ']]]</f>
        <v>1160282.7560718691</v>
      </c>
      <c r="P45" s="4">
        <f>Úsporná_opatření[[#This Row],[Potenciál úspor energie v TJ]]*Úsporná_opatření[[#This Row],[Emisní koeficient CH4 '[g/GJ']]]</f>
        <v>12396.190914764635</v>
      </c>
      <c r="Q45" s="4">
        <f>Úsporná_opatření[[#This Row],[Potenciál úspor energie v TJ]]*Úsporná_opatření[[#This Row],[Emisní koeficient N2O '[g/GJ']]]</f>
        <v>16271.242559242304</v>
      </c>
      <c r="R45" s="4">
        <f>Úsporná_opatření[[#This Row],[Potenciál úspor energie v TJ]]*Úsporná_opatření[[#This Row],[Emisní koeficient CO2 eq '[kg/GJ']]]</f>
        <v>1165441.4911273923</v>
      </c>
      <c r="S45" s="7">
        <f>VLOOKUP(Úsporná_opatření[[#This Row],[Šetřený nositel energie]] &amp; "#" &amp; Úsporná_opatření[[#This Row],[Nejpodobnější sektor]],Emiskoef,2,FALSE)</f>
        <v>243.30535699975164</v>
      </c>
      <c r="T45" s="7">
        <f>VLOOKUP(Úsporná_opatření[[#This Row],[Šetřený nositel energie]] &amp; "#" &amp; Úsporná_opatření[[#This Row],[Nejpodobnější sektor]],Emiskoef,3,FALSE)</f>
        <v>2.5994178058499644</v>
      </c>
      <c r="U45" s="7">
        <f>VLOOKUP(Úsporná_opatření[[#This Row],[Šetřený nositel energie]] &amp; "#" &amp; Úsporná_opatření[[#This Row],[Nejpodobnější sektor]],Emiskoef,4,FALSE)</f>
        <v>3.4119963077868793</v>
      </c>
      <c r="V4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5" s="4">
        <f>1000*Úsporná_opatření[[#This Row],[Investice '[Kč/GJ']]]/Úsporná_opatření[[#This Row],[Emisní koeficient CO2 eq '[kg/GJ']]]</f>
        <v>27210.926959879864</v>
      </c>
      <c r="X45" s="7" t="s">
        <v>352</v>
      </c>
    </row>
    <row r="46" spans="2:24" x14ac:dyDescent="0.25">
      <c r="B46" s="3" t="s">
        <v>42</v>
      </c>
      <c r="C46" s="3" t="s">
        <v>0</v>
      </c>
      <c r="D46" s="3" t="s">
        <v>208</v>
      </c>
      <c r="E46" s="3" t="str">
        <f>CONCATENATE(Úsporná_opatření[[#This Row],[Sektor]],Úsporná_opatření[[#This Row],[Opatření]])</f>
        <v>ZemědělstvíInstalace fotovoltaických systémů (pro výrobu elektřiny)</v>
      </c>
      <c r="F46" s="4">
        <v>12350</v>
      </c>
      <c r="G46" s="11">
        <f>VLOOKUP(Úsporná_opatření[[#This Row],[Opatření podrobně]],Potenciál_opatření!$A$1:$C$191,3,0)</f>
        <v>0.5</v>
      </c>
      <c r="H46" s="13">
        <f>Úsporná_opatření[[#This Row],[Potenciál úspor energie v TJ]]*Úsporná_opatření[[#This Row],[Investice '[Kč/GJ']]]*1000</f>
        <v>53675429.262424372</v>
      </c>
      <c r="I46" s="13">
        <f>Úsporná_opatření[[#This Row],[Podíl dotace '[%']]]*Úsporná_opatření[[#This Row],[Investice]]</f>
        <v>26837714.631212186</v>
      </c>
      <c r="J46" s="3">
        <v>10</v>
      </c>
      <c r="K46" s="12">
        <f>VLOOKUP(Úsporná_opatření[[#This Row],[Opatření podrobně]],Potenciál_opatření!$A$1:$C$191,2,0)</f>
        <v>4.3461886042448885</v>
      </c>
      <c r="L46" s="3">
        <v>20</v>
      </c>
      <c r="M46" s="3" t="s">
        <v>12</v>
      </c>
      <c r="N46" s="3" t="s">
        <v>4</v>
      </c>
      <c r="O46" s="4">
        <f>Úsporná_opatření[[#This Row],[Potenciál úspor energie v TJ]]*Úsporná_opatření[[#This Row],[Emisní koeficient CO2 '[kg/GJ']]]</f>
        <v>1057.4509699440548</v>
      </c>
      <c r="P46" s="4">
        <f>Úsporná_opatření[[#This Row],[Potenciál úspor energie v TJ]]*Úsporná_opatření[[#This Row],[Emisní koeficient CH4 '[g/GJ']]]</f>
        <v>11.297560045456366</v>
      </c>
      <c r="Q46" s="4">
        <f>Úsporná_opatření[[#This Row],[Potenciál úspor energie v TJ]]*Úsporná_opatření[[#This Row],[Emisní koeficient N2O '[g/GJ']]]</f>
        <v>14.82917947062897</v>
      </c>
      <c r="R46" s="4">
        <f>Úsporná_opatření[[#This Row],[Potenciál úspor energie v TJ]]*Úsporná_opatření[[#This Row],[Emisní koeficient CO2 eq '[kg/GJ']]]</f>
        <v>1062.1525044274388</v>
      </c>
      <c r="S46" s="7">
        <f>VLOOKUP(Úsporná_opatření[[#This Row],[Šetřený nositel energie]] &amp; "#" &amp; Úsporná_opatření[[#This Row],[Nejpodobnější sektor]],Emiskoef,2,FALSE)</f>
        <v>243.30535699975164</v>
      </c>
      <c r="T46" s="7">
        <f>VLOOKUP(Úsporná_opatření[[#This Row],[Šetřený nositel energie]] &amp; "#" &amp; Úsporná_opatření[[#This Row],[Nejpodobnější sektor]],Emiskoef,3,FALSE)</f>
        <v>2.5994178058499644</v>
      </c>
      <c r="U46" s="7">
        <f>VLOOKUP(Úsporná_opatření[[#This Row],[Šetřený nositel energie]] &amp; "#" &amp; Úsporná_opatření[[#This Row],[Nejpodobnější sektor]],Emiskoef,4,FALSE)</f>
        <v>3.4119963077868793</v>
      </c>
      <c r="V4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6" s="4">
        <f>1000*Úsporná_opatření[[#This Row],[Investice '[Kč/GJ']]]/Úsporná_opatření[[#This Row],[Emisní koeficient CO2 eq '[kg/GJ']]]</f>
        <v>50534.57863977689</v>
      </c>
      <c r="X46" s="7" t="s">
        <v>351</v>
      </c>
    </row>
    <row r="47" spans="2:24" x14ac:dyDescent="0.25">
      <c r="B47" s="3" t="s">
        <v>6</v>
      </c>
      <c r="C47" s="3" t="s">
        <v>0</v>
      </c>
      <c r="D47" s="3" t="s">
        <v>209</v>
      </c>
      <c r="E47" s="3" t="str">
        <f>CONCATENATE(Úsporná_opatření[[#This Row],[Sektor]],Úsporná_opatření[[#This Row],[Opatření]])</f>
        <v>SlužbyInstalace fotovoltaických systémů (pro výrobu elektřiny)</v>
      </c>
      <c r="F47" s="4">
        <v>12350</v>
      </c>
      <c r="G47" s="11">
        <f>VLOOKUP(Úsporná_opatření[[#This Row],[Opatření podrobně]],Potenciál_opatření!$A$1:$C$191,3,0)</f>
        <v>0.5</v>
      </c>
      <c r="H47" s="13">
        <f>Úsporná_opatření[[#This Row],[Potenciál úspor energie v TJ]]*Úsporná_opatření[[#This Row],[Investice '[Kč/GJ']]]*1000</f>
        <v>1308222957.6925979</v>
      </c>
      <c r="I47" s="13">
        <f>Úsporná_opatření[[#This Row],[Podíl dotace '[%']]]*Úsporná_opatření[[#This Row],[Investice]]</f>
        <v>654111478.84629893</v>
      </c>
      <c r="J47" s="3">
        <v>10</v>
      </c>
      <c r="K47" s="12">
        <f>VLOOKUP(Úsporná_opatření[[#This Row],[Opatření podrobně]],Potenciál_opatření!$A$1:$C$191,2,0)</f>
        <v>105.92898442855042</v>
      </c>
      <c r="L47" s="3">
        <v>20</v>
      </c>
      <c r="M47" s="3" t="s">
        <v>12</v>
      </c>
      <c r="N47" s="3" t="s">
        <v>6</v>
      </c>
      <c r="O47" s="4">
        <f>Úsporná_opatření[[#This Row],[Potenciál úspor energie v TJ]]*Úsporná_opatření[[#This Row],[Emisní koeficient CO2 '[kg/GJ']]]</f>
        <v>25773.089373009592</v>
      </c>
      <c r="P47" s="4">
        <f>Úsporná_opatření[[#This Row],[Potenciál úspor energie v TJ]]*Úsporná_opatření[[#This Row],[Emisní koeficient CH4 '[g/GJ']]]</f>
        <v>275.35368827917756</v>
      </c>
      <c r="Q47" s="4">
        <f>Úsporná_opatření[[#This Row],[Potenciál úspor energie v TJ]]*Úsporná_opatření[[#This Row],[Emisní koeficient N2O '[g/GJ']]]</f>
        <v>361.42930375782788</v>
      </c>
      <c r="R47" s="4">
        <f>Úsporná_opatření[[#This Row],[Potenciál úspor energie v TJ]]*Úsporná_opatření[[#This Row],[Emisní koeficient CO2 eq '[kg/GJ']]]</f>
        <v>25887.679147736406</v>
      </c>
      <c r="S47" s="7">
        <f>VLOOKUP(Úsporná_opatření[[#This Row],[Šetřený nositel energie]] &amp; "#" &amp; Úsporná_opatření[[#This Row],[Nejpodobnější sektor]],Emiskoef,2,FALSE)</f>
        <v>243.30535699975164</v>
      </c>
      <c r="T47" s="7">
        <f>VLOOKUP(Úsporná_opatření[[#This Row],[Šetřený nositel energie]] &amp; "#" &amp; Úsporná_opatření[[#This Row],[Nejpodobnější sektor]],Emiskoef,3,FALSE)</f>
        <v>2.5994178058499644</v>
      </c>
      <c r="U47" s="7">
        <f>VLOOKUP(Úsporná_opatření[[#This Row],[Šetřený nositel energie]] &amp; "#" &amp; Úsporná_opatření[[#This Row],[Nejpodobnější sektor]],Emiskoef,4,FALSE)</f>
        <v>3.4119963077868793</v>
      </c>
      <c r="V4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7" s="4">
        <f>1000*Úsporná_opatření[[#This Row],[Investice '[Kč/GJ']]]/Úsporná_opatření[[#This Row],[Emisní koeficient CO2 eq '[kg/GJ']]]</f>
        <v>50534.57863977689</v>
      </c>
      <c r="X47" s="7" t="s">
        <v>351</v>
      </c>
    </row>
    <row r="48" spans="2:24" x14ac:dyDescent="0.25">
      <c r="B48" s="3" t="s">
        <v>311</v>
      </c>
      <c r="C48" s="3" t="s">
        <v>0</v>
      </c>
      <c r="D48" s="3" t="s">
        <v>210</v>
      </c>
      <c r="E48" s="3" t="str">
        <f>CONCATENATE(Úsporná_opatření[[#This Row],[Sektor]],Úsporná_opatření[[#This Row],[Opatření]])</f>
        <v>veřejná správaInstalace fotovoltaických systémů (pro výrobu elektřiny)</v>
      </c>
      <c r="F48" s="4">
        <v>12350</v>
      </c>
      <c r="G48" s="11">
        <f>VLOOKUP(Úsporná_opatření[[#This Row],[Opatření podrobně]],Potenciál_opatření!$A$1:$C$191,3,0)</f>
        <v>0</v>
      </c>
      <c r="H48" s="13">
        <f>Úsporná_opatření[[#This Row],[Potenciál úspor energie v TJ]]*Úsporná_opatření[[#This Row],[Investice '[Kč/GJ']]]*1000</f>
        <v>1033325203.5613806</v>
      </c>
      <c r="I48" s="13">
        <f>Úsporná_opatření[[#This Row],[Podíl dotace '[%']]]*Úsporná_opatření[[#This Row],[Investice]]</f>
        <v>0</v>
      </c>
      <c r="J48" s="3">
        <v>10</v>
      </c>
      <c r="K48" s="12">
        <f>VLOOKUP(Úsporná_opatření[[#This Row],[Opatření podrobně]],Potenciál_opatření!$A$1:$C$191,2,0)</f>
        <v>83.670056968532847</v>
      </c>
      <c r="L48" s="3">
        <v>20</v>
      </c>
      <c r="M48" s="3" t="s">
        <v>12</v>
      </c>
      <c r="N48" s="3" t="s">
        <v>8</v>
      </c>
      <c r="O48" s="4">
        <f>Úsporná_opatření[[#This Row],[Potenciál úspor energie v TJ]]*Úsporná_opatření[[#This Row],[Emisní koeficient CO2 '[kg/GJ']]]</f>
        <v>20357.373080918442</v>
      </c>
      <c r="P48" s="4">
        <f>Úsporná_opatření[[#This Row],[Potenciál úspor energie v TJ]]*Úsporná_opatření[[#This Row],[Emisní koeficient CH4 '[g/GJ']]]</f>
        <v>217.49343590048517</v>
      </c>
      <c r="Q48" s="4">
        <f>Úsporná_opatření[[#This Row],[Potenciál úspor energie v TJ]]*Úsporná_opatření[[#This Row],[Emisní koeficient N2O '[g/GJ']]]</f>
        <v>285.48192544895193</v>
      </c>
      <c r="R48" s="4">
        <f>Úsporná_opatření[[#This Row],[Potenciál úspor energie v TJ]]*Úsporná_opatření[[#This Row],[Emisní koeficient CO2 eq '[kg/GJ']]]</f>
        <v>20447.884030599744</v>
      </c>
      <c r="S48" s="7">
        <f>VLOOKUP(Úsporná_opatření[[#This Row],[Šetřený nositel energie]] &amp; "#" &amp; Úsporná_opatření[[#This Row],[Nejpodobnější sektor]],Emiskoef,2,FALSE)</f>
        <v>243.30535699975164</v>
      </c>
      <c r="T48" s="7">
        <f>VLOOKUP(Úsporná_opatření[[#This Row],[Šetřený nositel energie]] &amp; "#" &amp; Úsporná_opatření[[#This Row],[Nejpodobnější sektor]],Emiskoef,3,FALSE)</f>
        <v>2.5994178058499644</v>
      </c>
      <c r="U48" s="7">
        <f>VLOOKUP(Úsporná_opatření[[#This Row],[Šetřený nositel energie]] &amp; "#" &amp; Úsporná_opatření[[#This Row],[Nejpodobnější sektor]],Emiskoef,4,FALSE)</f>
        <v>3.4119963077868793</v>
      </c>
      <c r="V4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8" s="4">
        <f>1000*Úsporná_opatření[[#This Row],[Investice '[Kč/GJ']]]/Úsporná_opatření[[#This Row],[Emisní koeficient CO2 eq '[kg/GJ']]]</f>
        <v>50534.57863977689</v>
      </c>
      <c r="X48" s="7" t="s">
        <v>351</v>
      </c>
    </row>
    <row r="49" spans="2:24" x14ac:dyDescent="0.25">
      <c r="B49" s="3" t="s">
        <v>7</v>
      </c>
      <c r="C49" s="3" t="s">
        <v>0</v>
      </c>
      <c r="D49" s="3" t="s">
        <v>224</v>
      </c>
      <c r="E49" s="3" t="str">
        <f>CONCATENATE(Úsporná_opatření[[#This Row],[Sektor]],Úsporná_opatření[[#This Row],[Opatření]])</f>
        <v>DomácnostiInstalace fotovoltaických systémů (pro výrobu elektřiny)</v>
      </c>
      <c r="F49" s="4">
        <v>14820</v>
      </c>
      <c r="G49" s="11">
        <f>VLOOKUP(Úsporná_opatření[[#This Row],[Opatření podrobně]],Potenciál_opatření!$A$1:$C$191,3,0)</f>
        <v>0</v>
      </c>
      <c r="H49" s="13">
        <f>Úsporná_opatření[[#This Row],[Potenciál úspor energie v TJ]]*Úsporná_opatření[[#This Row],[Investice '[Kč/GJ']]]*1000</f>
        <v>2739093576.7718835</v>
      </c>
      <c r="I49" s="13">
        <f>Úsporná_opatření[[#This Row],[Podíl dotace '[%']]]*Úsporná_opatření[[#This Row],[Investice]]</f>
        <v>0</v>
      </c>
      <c r="J49" s="3">
        <v>10</v>
      </c>
      <c r="K49" s="12">
        <f>VLOOKUP(Úsporná_opatření[[#This Row],[Opatření podrobně]],Potenciál_opatření!$A$1:$C$191,2,0)</f>
        <v>184.82412798730655</v>
      </c>
      <c r="L49" s="3">
        <v>20</v>
      </c>
      <c r="M49" s="3" t="s">
        <v>12</v>
      </c>
      <c r="N49" s="3" t="s">
        <v>7</v>
      </c>
      <c r="O49" s="4">
        <f>Úsporná_opatření[[#This Row],[Potenciál úspor energie v TJ]]*Úsporná_opatření[[#This Row],[Emisní koeficient CO2 '[kg/GJ']]]</f>
        <v>44968.700442119407</v>
      </c>
      <c r="P49" s="4">
        <f>Úsporná_opatření[[#This Row],[Potenciál úspor energie v TJ]]*Úsporná_opatření[[#This Row],[Emisní koeficient CH4 '[g/GJ']]]</f>
        <v>480.43512924089742</v>
      </c>
      <c r="Q49" s="4">
        <f>Úsporná_opatření[[#This Row],[Potenciál úspor energie v TJ]]*Úsporná_opatření[[#This Row],[Emisní koeficient N2O '[g/GJ']]]</f>
        <v>630.61924228261955</v>
      </c>
      <c r="R49" s="4">
        <f>Úsporná_opatření[[#This Row],[Potenciál úspor energie v TJ]]*Úsporná_opatření[[#This Row],[Emisní koeficient CO2 eq '[kg/GJ']]]</f>
        <v>45168.635854550652</v>
      </c>
      <c r="S49" s="7">
        <f>VLOOKUP(Úsporná_opatření[[#This Row],[Šetřený nositel energie]] &amp; "#" &amp; Úsporná_opatření[[#This Row],[Nejpodobnější sektor]],Emiskoef,2,FALSE)</f>
        <v>243.30535699975164</v>
      </c>
      <c r="T49" s="7">
        <f>VLOOKUP(Úsporná_opatření[[#This Row],[Šetřený nositel energie]] &amp; "#" &amp; Úsporná_opatření[[#This Row],[Nejpodobnější sektor]],Emiskoef,3,FALSE)</f>
        <v>2.5994178058499644</v>
      </c>
      <c r="U49" s="7">
        <f>VLOOKUP(Úsporná_opatření[[#This Row],[Šetřený nositel energie]] &amp; "#" &amp; Úsporná_opatření[[#This Row],[Nejpodobnější sektor]],Emiskoef,4,FALSE)</f>
        <v>3.4119963077868793</v>
      </c>
      <c r="V4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9" s="4">
        <f>1000*Úsporná_opatření[[#This Row],[Investice '[Kč/GJ']]]/Úsporná_opatření[[#This Row],[Emisní koeficient CO2 eq '[kg/GJ']]]</f>
        <v>60641.494367732266</v>
      </c>
      <c r="X49" s="7" t="s">
        <v>351</v>
      </c>
    </row>
    <row r="50" spans="2:24" x14ac:dyDescent="0.25">
      <c r="B50" s="3" t="s">
        <v>42</v>
      </c>
      <c r="C50" s="3" t="s">
        <v>0</v>
      </c>
      <c r="D50" s="3" t="s">
        <v>237</v>
      </c>
      <c r="E50" s="3" t="str">
        <f>CONCATENATE(Úsporná_opatření[[#This Row],[Sektor]],Úsporná_opatření[[#This Row],[Opatření]])</f>
        <v>ZemědělstvíInstalace fotovoltaických systémů (pro výrobu elektřiny)</v>
      </c>
      <c r="F50" s="4">
        <v>17100</v>
      </c>
      <c r="G50" s="11">
        <f>VLOOKUP(Úsporná_opatření[[#This Row],[Opatření podrobně]],Potenciál_opatření!$A$1:$C$191,3,0)</f>
        <v>0.73684210526315796</v>
      </c>
      <c r="H50" s="13">
        <f>Úsporná_opatření[[#This Row],[Potenciál úspor energie v TJ]]*Úsporná_opatření[[#This Row],[Investice '[Kč/GJ']]]*1000</f>
        <v>1040477551.8562261</v>
      </c>
      <c r="I50" s="13">
        <f>Úsporná_opatření[[#This Row],[Podíl dotace '[%']]]*Úsporná_opatření[[#This Row],[Investice]]</f>
        <v>766667669.78879821</v>
      </c>
      <c r="J50" s="3">
        <v>19</v>
      </c>
      <c r="K50" s="12">
        <f>VLOOKUP(Úsporná_opatření[[#This Row],[Opatření podrobně]],Potenciál_opatření!$A$1:$C$191,2,0)</f>
        <v>60.846640459428421</v>
      </c>
      <c r="L50" s="3">
        <v>20</v>
      </c>
      <c r="M50" s="3" t="s">
        <v>12</v>
      </c>
      <c r="N50" s="3" t="s">
        <v>4</v>
      </c>
      <c r="O50" s="4">
        <f>Úsporná_opatření[[#This Row],[Potenciál úspor energie v TJ]]*Úsporná_opatření[[#This Row],[Emisní koeficient CO2 '[kg/GJ']]]</f>
        <v>14804.313579216763</v>
      </c>
      <c r="P50" s="4">
        <f>Úsporná_opatření[[#This Row],[Potenciál úspor energie v TJ]]*Úsporná_opatření[[#This Row],[Emisní koeficient CH4 '[g/GJ']]]</f>
        <v>158.16584063638911</v>
      </c>
      <c r="Q50" s="4">
        <f>Úsporná_opatření[[#This Row],[Potenciál úspor energie v TJ]]*Úsporná_opatření[[#This Row],[Emisní koeficient N2O '[g/GJ']]]</f>
        <v>207.60851258880552</v>
      </c>
      <c r="R50" s="4">
        <f>Úsporná_opatření[[#This Row],[Potenciál úspor energie v TJ]]*Úsporná_opatření[[#This Row],[Emisní koeficient CO2 eq '[kg/GJ']]]</f>
        <v>14870.135061984138</v>
      </c>
      <c r="S50" s="7">
        <f>VLOOKUP(Úsporná_opatření[[#This Row],[Šetřený nositel energie]] &amp; "#" &amp; Úsporná_opatření[[#This Row],[Nejpodobnější sektor]],Emiskoef,2,FALSE)</f>
        <v>243.30535699975164</v>
      </c>
      <c r="T50" s="7">
        <f>VLOOKUP(Úsporná_opatření[[#This Row],[Šetřený nositel energie]] &amp; "#" &amp; Úsporná_opatření[[#This Row],[Nejpodobnější sektor]],Emiskoef,3,FALSE)</f>
        <v>2.5994178058499644</v>
      </c>
      <c r="U50" s="7">
        <f>VLOOKUP(Úsporná_opatření[[#This Row],[Šetřený nositel energie]] &amp; "#" &amp; Úsporná_opatření[[#This Row],[Nejpodobnější sektor]],Emiskoef,4,FALSE)</f>
        <v>3.4119963077868793</v>
      </c>
      <c r="V5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0" s="4">
        <f>1000*Úsporná_opatření[[#This Row],[Investice '[Kč/GJ']]]/Úsporná_opatření[[#This Row],[Emisní koeficient CO2 eq '[kg/GJ']]]</f>
        <v>69970.955039691078</v>
      </c>
      <c r="X50" s="7" t="s">
        <v>352</v>
      </c>
    </row>
    <row r="51" spans="2:24" x14ac:dyDescent="0.25">
      <c r="B51" s="3" t="s">
        <v>4</v>
      </c>
      <c r="C51" s="3" t="s">
        <v>0</v>
      </c>
      <c r="D51" s="3" t="s">
        <v>238</v>
      </c>
      <c r="E51" s="3" t="str">
        <f>CONCATENATE(Úsporná_opatření[[#This Row],[Sektor]],Úsporná_opatření[[#This Row],[Opatření]])</f>
        <v>PrůmyslInstalace fotovoltaických systémů (pro výrobu elektřiny)</v>
      </c>
      <c r="F51" s="4">
        <v>17100</v>
      </c>
      <c r="G51" s="11">
        <f>VLOOKUP(Úsporná_opatření[[#This Row],[Opatření podrobně]],Potenciál_opatření!$A$1:$C$191,3,0)</f>
        <v>0.8214285714285714</v>
      </c>
      <c r="H51" s="13">
        <f>Úsporná_opatření[[#This Row],[Potenciál úspor energie v TJ]]*Úsporná_opatření[[#This Row],[Investice '[Kč/GJ']]]*1000</f>
        <v>29123947920.380466</v>
      </c>
      <c r="I51" s="13">
        <f>Úsporná_opatření[[#This Row],[Podíl dotace '[%']]]*Úsporná_opatření[[#This Row],[Investice]]</f>
        <v>23923242934.59824</v>
      </c>
      <c r="J51" s="3">
        <v>28</v>
      </c>
      <c r="K51" s="12">
        <f>VLOOKUP(Úsporná_opatření[[#This Row],[Opatření podrobně]],Potenciál_opatření!$A$1:$C$191,2,0)</f>
        <v>1703.1548491450565</v>
      </c>
      <c r="L51" s="3">
        <v>20</v>
      </c>
      <c r="M51" s="3" t="s">
        <v>12</v>
      </c>
      <c r="N51" s="3" t="s">
        <v>4</v>
      </c>
      <c r="O51" s="4">
        <f>Úsporná_opatření[[#This Row],[Potenciál úspor energie v TJ]]*Úsporná_opatření[[#This Row],[Emisní koeficient CO2 '[kg/GJ']]]</f>
        <v>414386.69859709608</v>
      </c>
      <c r="P51" s="4">
        <f>Úsporná_opatření[[#This Row],[Potenciál úspor energie v TJ]]*Úsporná_opatření[[#This Row],[Emisní koeficient CH4 '[g/GJ']]]</f>
        <v>4427.2110409873694</v>
      </c>
      <c r="Q51" s="4">
        <f>Úsporná_opatření[[#This Row],[Potenciál úspor energie v TJ]]*Úsporná_opatření[[#This Row],[Emisní koeficient N2O '[g/GJ']]]</f>
        <v>5811.158056872252</v>
      </c>
      <c r="R51" s="4">
        <f>Úsporná_opatření[[#This Row],[Potenciál úspor energie v TJ]]*Úsporná_opatření[[#This Row],[Emisní koeficient CO2 eq '[kg/GJ']]]</f>
        <v>416229.10397406877</v>
      </c>
      <c r="S51" s="7">
        <f>VLOOKUP(Úsporná_opatření[[#This Row],[Šetřený nositel energie]] &amp; "#" &amp; Úsporná_opatření[[#This Row],[Nejpodobnější sektor]],Emiskoef,2,FALSE)</f>
        <v>243.30535699975164</v>
      </c>
      <c r="T51" s="7">
        <f>VLOOKUP(Úsporná_opatření[[#This Row],[Šetřený nositel energie]] &amp; "#" &amp; Úsporná_opatření[[#This Row],[Nejpodobnější sektor]],Emiskoef,3,FALSE)</f>
        <v>2.5994178058499644</v>
      </c>
      <c r="U51" s="7">
        <f>VLOOKUP(Úsporná_opatření[[#This Row],[Šetřený nositel energie]] &amp; "#" &amp; Úsporná_opatření[[#This Row],[Nejpodobnější sektor]],Emiskoef,4,FALSE)</f>
        <v>3.4119963077868793</v>
      </c>
      <c r="V5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1" s="4">
        <f>1000*Úsporná_opatření[[#This Row],[Investice '[Kč/GJ']]]/Úsporná_opatření[[#This Row],[Emisní koeficient CO2 eq '[kg/GJ']]]</f>
        <v>69970.955039691078</v>
      </c>
      <c r="X51" s="7" t="s">
        <v>353</v>
      </c>
    </row>
    <row r="52" spans="2:24" x14ac:dyDescent="0.25">
      <c r="B52" s="3" t="s">
        <v>6</v>
      </c>
      <c r="C52" s="3" t="s">
        <v>0</v>
      </c>
      <c r="D52" s="3" t="s">
        <v>239</v>
      </c>
      <c r="E52" s="3" t="str">
        <f>CONCATENATE(Úsporná_opatření[[#This Row],[Sektor]],Úsporná_opatření[[#This Row],[Opatření]])</f>
        <v>SlužbyInstalace fotovoltaických systémů (pro výrobu elektřiny)</v>
      </c>
      <c r="F52" s="4">
        <v>17100</v>
      </c>
      <c r="G52" s="11">
        <f>VLOOKUP(Úsporná_opatření[[#This Row],[Opatření podrobně]],Potenciál_opatření!$A$1:$C$191,3,0)</f>
        <v>0.73684210526315796</v>
      </c>
      <c r="H52" s="13">
        <f>Úsporná_opatření[[#This Row],[Potenciál úspor energie v TJ]]*Úsporná_opatření[[#This Row],[Investice '[Kč/GJ']]]*1000</f>
        <v>25359398872.194965</v>
      </c>
      <c r="I52" s="13">
        <f>Úsporná_opatření[[#This Row],[Podíl dotace '[%']]]*Úsporná_opatření[[#This Row],[Investice]]</f>
        <v>18685872853.196293</v>
      </c>
      <c r="J52" s="3">
        <v>19</v>
      </c>
      <c r="K52" s="12">
        <f>VLOOKUP(Úsporná_opatření[[#This Row],[Opatření podrobně]],Potenciál_opatření!$A$1:$C$191,2,0)</f>
        <v>1483.0057819997055</v>
      </c>
      <c r="L52" s="3">
        <v>20</v>
      </c>
      <c r="M52" s="3" t="s">
        <v>12</v>
      </c>
      <c r="N52" s="3" t="s">
        <v>6</v>
      </c>
      <c r="O52" s="4">
        <f>Úsporná_opatření[[#This Row],[Potenciál úspor energie v TJ]]*Úsporná_opatření[[#This Row],[Emisní koeficient CO2 '[kg/GJ']]]</f>
        <v>360823.25122213422</v>
      </c>
      <c r="P52" s="4">
        <f>Úsporná_opatření[[#This Row],[Potenciál úspor energie v TJ]]*Úsporná_opatření[[#This Row],[Emisní koeficient CH4 '[g/GJ']]]</f>
        <v>3854.9516359084851</v>
      </c>
      <c r="Q52" s="4">
        <f>Úsporná_opatření[[#This Row],[Potenciál úspor energie v TJ]]*Úsporná_opatření[[#This Row],[Emisní koeficient N2O '[g/GJ']]]</f>
        <v>5060.0102526095889</v>
      </c>
      <c r="R52" s="4">
        <f>Úsporná_opatření[[#This Row],[Potenciál úspor energie v TJ]]*Úsporná_opatření[[#This Row],[Emisní koeficient CO2 eq '[kg/GJ']]]</f>
        <v>362427.50806830957</v>
      </c>
      <c r="S52" s="7">
        <f>VLOOKUP(Úsporná_opatření[[#This Row],[Šetřený nositel energie]] &amp; "#" &amp; Úsporná_opatření[[#This Row],[Nejpodobnější sektor]],Emiskoef,2,FALSE)</f>
        <v>243.30535699975164</v>
      </c>
      <c r="T52" s="7">
        <f>VLOOKUP(Úsporná_opatření[[#This Row],[Šetřený nositel energie]] &amp; "#" &amp; Úsporná_opatření[[#This Row],[Nejpodobnější sektor]],Emiskoef,3,FALSE)</f>
        <v>2.5994178058499644</v>
      </c>
      <c r="U52" s="7">
        <f>VLOOKUP(Úsporná_opatření[[#This Row],[Šetřený nositel energie]] &amp; "#" &amp; Úsporná_opatření[[#This Row],[Nejpodobnější sektor]],Emiskoef,4,FALSE)</f>
        <v>3.4119963077868793</v>
      </c>
      <c r="V5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2" s="4">
        <f>1000*Úsporná_opatření[[#This Row],[Investice '[Kč/GJ']]]/Úsporná_opatření[[#This Row],[Emisní koeficient CO2 eq '[kg/GJ']]]</f>
        <v>69970.955039691078</v>
      </c>
      <c r="X52" s="7" t="s">
        <v>352</v>
      </c>
    </row>
    <row r="53" spans="2:24" x14ac:dyDescent="0.25">
      <c r="B53" s="3" t="s">
        <v>311</v>
      </c>
      <c r="C53" s="3" t="s">
        <v>0</v>
      </c>
      <c r="D53" s="3" t="s">
        <v>240</v>
      </c>
      <c r="E53" s="3" t="str">
        <f>CONCATENATE(Úsporná_opatření[[#This Row],[Sektor]],Úsporná_opatření[[#This Row],[Opatření]])</f>
        <v>veřejná správaInstalace fotovoltaických systémů (pro výrobu elektřiny)</v>
      </c>
      <c r="F53" s="4">
        <v>17100</v>
      </c>
      <c r="G53" s="11">
        <f>VLOOKUP(Úsporná_opatření[[#This Row],[Opatření podrobně]],Potenciál_opatření!$A$1:$C$191,3,0)</f>
        <v>0.36842105263157898</v>
      </c>
      <c r="H53" s="13">
        <f>Úsporná_opatření[[#This Row],[Potenciál úspor energie v TJ]]*Úsporná_opatření[[#This Row],[Investice '[Kč/GJ']]]*1000</f>
        <v>20030611638.266766</v>
      </c>
      <c r="I53" s="13">
        <f>Úsporná_opatření[[#This Row],[Podíl dotace '[%']]]*Úsporná_opatření[[#This Row],[Investice]]</f>
        <v>7379699024.6245985</v>
      </c>
      <c r="J53" s="3">
        <v>19</v>
      </c>
      <c r="K53" s="12">
        <f>VLOOKUP(Úsporná_opatření[[#This Row],[Opatření podrobně]],Potenciál_opatření!$A$1:$C$191,2,0)</f>
        <v>1171.38079755946</v>
      </c>
      <c r="L53" s="3">
        <v>20</v>
      </c>
      <c r="M53" s="3" t="s">
        <v>12</v>
      </c>
      <c r="N53" s="3" t="s">
        <v>8</v>
      </c>
      <c r="O53" s="4">
        <f>Úsporná_opatření[[#This Row],[Potenciál úspor energie v TJ]]*Úsporná_opatření[[#This Row],[Emisní koeficient CO2 '[kg/GJ']]]</f>
        <v>285003.22313285823</v>
      </c>
      <c r="P53" s="4">
        <f>Úsporná_opatření[[#This Row],[Potenciál úspor energie v TJ]]*Úsporná_opatření[[#This Row],[Emisní koeficient CH4 '[g/GJ']]]</f>
        <v>3044.9081026067929</v>
      </c>
      <c r="Q53" s="4">
        <f>Úsporná_opatření[[#This Row],[Potenciál úspor energie v TJ]]*Úsporná_opatření[[#This Row],[Emisní koeficient N2O '[g/GJ']]]</f>
        <v>3996.7469562853275</v>
      </c>
      <c r="R53" s="4">
        <f>Úsporná_opatření[[#This Row],[Potenciál úspor energie v TJ]]*Úsporná_opatření[[#This Row],[Emisní koeficient CO2 eq '[kg/GJ']]]</f>
        <v>286270.37642839644</v>
      </c>
      <c r="S53" s="7">
        <f>VLOOKUP(Úsporná_opatření[[#This Row],[Šetřený nositel energie]] &amp; "#" &amp; Úsporná_opatření[[#This Row],[Nejpodobnější sektor]],Emiskoef,2,FALSE)</f>
        <v>243.30535699975164</v>
      </c>
      <c r="T53" s="7">
        <f>VLOOKUP(Úsporná_opatření[[#This Row],[Šetřený nositel energie]] &amp; "#" &amp; Úsporná_opatření[[#This Row],[Nejpodobnější sektor]],Emiskoef,3,FALSE)</f>
        <v>2.5994178058499644</v>
      </c>
      <c r="U53" s="7">
        <f>VLOOKUP(Úsporná_opatření[[#This Row],[Šetřený nositel energie]] &amp; "#" &amp; Úsporná_opatření[[#This Row],[Nejpodobnější sektor]],Emiskoef,4,FALSE)</f>
        <v>3.4119963077868793</v>
      </c>
      <c r="V5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3" s="4">
        <f>1000*Úsporná_opatření[[#This Row],[Investice '[Kč/GJ']]]/Úsporná_opatření[[#This Row],[Emisní koeficient CO2 eq '[kg/GJ']]]</f>
        <v>69970.955039691078</v>
      </c>
      <c r="X53" s="7" t="s">
        <v>352</v>
      </c>
    </row>
    <row r="54" spans="2:24" x14ac:dyDescent="0.25">
      <c r="B54" s="3" t="s">
        <v>19</v>
      </c>
      <c r="C54" s="3" t="s">
        <v>0</v>
      </c>
      <c r="D54" s="3" t="s">
        <v>241</v>
      </c>
      <c r="E54" s="3" t="str">
        <f>CONCATENATE(Úsporná_opatření[[#This Row],[Sektor]],Úsporná_opatření[[#This Row],[Opatření]])</f>
        <v>DopravaInstalace fotovoltaických systémů (pro výrobu elektřiny)</v>
      </c>
      <c r="F54" s="4">
        <v>17100</v>
      </c>
      <c r="G54" s="11">
        <f>VLOOKUP(Úsporná_opatření[[#This Row],[Opatření podrobně]],Potenciál_opatření!$A$1:$C$191,3,0)</f>
        <v>0.73684210526315796</v>
      </c>
      <c r="H54" s="13">
        <f>Úsporná_opatření[[#This Row],[Potenciál úspor energie v TJ]]*Úsporná_opatření[[#This Row],[Investice '[Kč/GJ']]]*1000</f>
        <v>519909700.22166061</v>
      </c>
      <c r="I54" s="13">
        <f>Úsporná_opatření[[#This Row],[Podíl dotace '[%']]]*Úsporná_opatření[[#This Row],[Investice]]</f>
        <v>383091358.05806577</v>
      </c>
      <c r="J54" s="3">
        <v>19</v>
      </c>
      <c r="K54" s="12">
        <f>VLOOKUP(Úsporná_opatření[[#This Row],[Opatření podrobně]],Potenciál_opatření!$A$1:$C$191,2,0)</f>
        <v>30.404076036354422</v>
      </c>
      <c r="L54" s="3">
        <v>20</v>
      </c>
      <c r="M54" s="3" t="s">
        <v>12</v>
      </c>
      <c r="N54" s="3" t="s">
        <v>19</v>
      </c>
      <c r="O54" s="4">
        <f>Úsporná_opatření[[#This Row],[Potenciál úspor energie v TJ]]*Úsporná_opatření[[#This Row],[Emisní koeficient CO2 '[kg/GJ']]]</f>
        <v>7397.4745742728064</v>
      </c>
      <c r="P54" s="4">
        <f>Úsporná_opatření[[#This Row],[Potenciál úspor energie v TJ]]*Úsporná_opatření[[#This Row],[Emisní koeficient CH4 '[g/GJ']]]</f>
        <v>79.032896619315892</v>
      </c>
      <c r="Q54" s="4">
        <f>Úsporná_opatření[[#This Row],[Potenciál úspor energie v TJ]]*Úsporná_opatření[[#This Row],[Emisní koeficient N2O '[g/GJ']]]</f>
        <v>103.73859517771282</v>
      </c>
      <c r="R54" s="4">
        <f>Úsporná_opatření[[#This Row],[Potenciál úspor energie v TJ]]*Úsporná_opatření[[#This Row],[Emisní koeficient CO2 eq '[kg/GJ']]]</f>
        <v>7430.3644980512481</v>
      </c>
      <c r="S54" s="7">
        <f>VLOOKUP(Úsporná_opatření[[#This Row],[Šetřený nositel energie]] &amp; "#" &amp; Úsporná_opatření[[#This Row],[Nejpodobnější sektor]],Emiskoef,2,FALSE)</f>
        <v>243.30535699975164</v>
      </c>
      <c r="T54" s="7">
        <f>VLOOKUP(Úsporná_opatření[[#This Row],[Šetřený nositel energie]] &amp; "#" &amp; Úsporná_opatření[[#This Row],[Nejpodobnější sektor]],Emiskoef,3,FALSE)</f>
        <v>2.5994178058499644</v>
      </c>
      <c r="U54" s="7">
        <f>VLOOKUP(Úsporná_opatření[[#This Row],[Šetřený nositel energie]] &amp; "#" &amp; Úsporná_opatření[[#This Row],[Nejpodobnější sektor]],Emiskoef,4,FALSE)</f>
        <v>3.4119963077868793</v>
      </c>
      <c r="V5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4" s="4">
        <f>1000*Úsporná_opatření[[#This Row],[Investice '[Kč/GJ']]]/Úsporná_opatření[[#This Row],[Emisní koeficient CO2 eq '[kg/GJ']]]</f>
        <v>69970.955039691078</v>
      </c>
      <c r="X54" s="7" t="s">
        <v>352</v>
      </c>
    </row>
    <row r="55" spans="2:24" x14ac:dyDescent="0.25">
      <c r="B55" s="3" t="s">
        <v>7</v>
      </c>
      <c r="C55" s="3" t="s">
        <v>0</v>
      </c>
      <c r="D55" s="3" t="s">
        <v>254</v>
      </c>
      <c r="E55" s="3" t="str">
        <f>CONCATENATE(Úsporná_opatření[[#This Row],[Sektor]],Úsporná_opatření[[#This Row],[Opatření]])</f>
        <v>DomácnostiInstalace fotovoltaických systémů (pro výrobu elektřiny)</v>
      </c>
      <c r="F55" s="4">
        <v>20900</v>
      </c>
      <c r="G55" s="11">
        <f>VLOOKUP(Úsporná_opatření[[#This Row],[Opatření podrobně]],Potenciál_opatření!$A$1:$C$191,3,0)</f>
        <v>0.36842105263157898</v>
      </c>
      <c r="H55" s="13">
        <f>Úsporná_opatření[[#This Row],[Potenciál úspor energie v TJ]]*Úsporná_opatření[[#This Row],[Investice '[Kč/GJ']]]*1000</f>
        <v>54079539849.085907</v>
      </c>
      <c r="I55" s="13">
        <f>Úsporná_opatření[[#This Row],[Podíl dotace '[%']]]*Úsporná_opatření[[#This Row],[Investice]]</f>
        <v>19924040997.031651</v>
      </c>
      <c r="J55" s="3">
        <v>19</v>
      </c>
      <c r="K55" s="12">
        <f>VLOOKUP(Úsporná_opatření[[#This Row],[Opatření podrobně]],Potenciál_opatření!$A$1:$C$191,2,0)</f>
        <v>2587.5377918222921</v>
      </c>
      <c r="L55" s="3">
        <v>20</v>
      </c>
      <c r="M55" s="3" t="s">
        <v>12</v>
      </c>
      <c r="N55" s="3" t="s">
        <v>7</v>
      </c>
      <c r="O55" s="4">
        <f>Úsporná_opatření[[#This Row],[Potenciál úspor energie v TJ]]*Úsporná_opatření[[#This Row],[Emisní koeficient CO2 '[kg/GJ']]]</f>
        <v>629561.80618967186</v>
      </c>
      <c r="P55" s="4">
        <f>Úsporná_opatření[[#This Row],[Potenciál úspor energie v TJ]]*Úsporná_opatření[[#This Row],[Emisní koeficient CH4 '[g/GJ']]]</f>
        <v>6726.0918093725641</v>
      </c>
      <c r="Q55" s="4">
        <f>Úsporná_opatření[[#This Row],[Potenciál úspor energie v TJ]]*Úsporná_opatření[[#This Row],[Emisní koeficient N2O '[g/GJ']]]</f>
        <v>8828.6693919566751</v>
      </c>
      <c r="R55" s="4">
        <f>Úsporná_opatření[[#This Row],[Potenciál úspor energie v TJ]]*Úsporná_opatření[[#This Row],[Emisní koeficient CO2 eq '[kg/GJ']]]</f>
        <v>632360.90196370927</v>
      </c>
      <c r="S55" s="7">
        <f>VLOOKUP(Úsporná_opatření[[#This Row],[Šetřený nositel energie]] &amp; "#" &amp; Úsporná_opatření[[#This Row],[Nejpodobnější sektor]],Emiskoef,2,FALSE)</f>
        <v>243.30535699975164</v>
      </c>
      <c r="T55" s="7">
        <f>VLOOKUP(Úsporná_opatření[[#This Row],[Šetřený nositel energie]] &amp; "#" &amp; Úsporná_opatření[[#This Row],[Nejpodobnější sektor]],Emiskoef,3,FALSE)</f>
        <v>2.5994178058499644</v>
      </c>
      <c r="U55" s="7">
        <f>VLOOKUP(Úsporná_opatření[[#This Row],[Šetřený nositel energie]] &amp; "#" &amp; Úsporná_opatření[[#This Row],[Nejpodobnější sektor]],Emiskoef,4,FALSE)</f>
        <v>3.4119963077868793</v>
      </c>
      <c r="V5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5" s="4">
        <f>1000*Úsporná_opatření[[#This Row],[Investice '[Kč/GJ']]]/Úsporná_opatření[[#This Row],[Emisní koeficient CO2 eq '[kg/GJ']]]</f>
        <v>85520.056159622429</v>
      </c>
      <c r="X55" s="7" t="s">
        <v>352</v>
      </c>
    </row>
    <row r="56" spans="2:24" x14ac:dyDescent="0.25">
      <c r="B56" s="3" t="s">
        <v>42</v>
      </c>
      <c r="C56" s="3" t="s">
        <v>0</v>
      </c>
      <c r="D56" s="3" t="s">
        <v>263</v>
      </c>
      <c r="E56" s="3" t="str">
        <f>CONCATENATE(Úsporná_opatření[[#This Row],[Sektor]],Úsporná_opatření[[#This Row],[Opatření]])</f>
        <v>ZemědělstvíInstalace fotovoltaických systémů (pro výrobu elektřiny)</v>
      </c>
      <c r="F56" s="4">
        <v>22800</v>
      </c>
      <c r="G56" s="11">
        <f>VLOOKUP(Úsporná_opatření[[#This Row],[Opatření podrobně]],Potenciál_opatření!$A$1:$C$191,3,0)</f>
        <v>0.8214285714285714</v>
      </c>
      <c r="H56" s="13">
        <f>Úsporná_opatření[[#This Row],[Potenciál úspor energie v TJ]]*Úsporná_opatření[[#This Row],[Investice '[Kč/GJ']]]*1000</f>
        <v>495465500.88391727</v>
      </c>
      <c r="I56" s="13">
        <f>Úsporná_opatření[[#This Row],[Podíl dotace '[%']]]*Úsporná_opatření[[#This Row],[Investice]]</f>
        <v>406989518.58321774</v>
      </c>
      <c r="J56" s="3">
        <v>28</v>
      </c>
      <c r="K56" s="12">
        <f>VLOOKUP(Úsporná_opatření[[#This Row],[Opatření podrobně]],Potenciál_opatření!$A$1:$C$191,2,0)</f>
        <v>21.730943021224441</v>
      </c>
      <c r="L56" s="3">
        <v>20</v>
      </c>
      <c r="M56" s="3" t="s">
        <v>12</v>
      </c>
      <c r="N56" s="3" t="s">
        <v>4</v>
      </c>
      <c r="O56" s="4">
        <f>Úsporná_opatření[[#This Row],[Potenciál úspor energie v TJ]]*Úsporná_opatření[[#This Row],[Emisní koeficient CO2 '[kg/GJ']]]</f>
        <v>5287.2548497202743</v>
      </c>
      <c r="P56" s="4">
        <f>Úsporná_opatření[[#This Row],[Potenciál úspor energie v TJ]]*Úsporná_opatření[[#This Row],[Emisní koeficient CH4 '[g/GJ']]]</f>
        <v>56.487800227281831</v>
      </c>
      <c r="Q56" s="4">
        <f>Úsporná_opatření[[#This Row],[Potenciál úspor energie v TJ]]*Úsporná_opatření[[#This Row],[Emisní koeficient N2O '[g/GJ']]]</f>
        <v>74.145897353144846</v>
      </c>
      <c r="R56" s="4">
        <f>Úsporná_opatření[[#This Row],[Potenciál úspor energie v TJ]]*Úsporná_opatření[[#This Row],[Emisní koeficient CO2 eq '[kg/GJ']]]</f>
        <v>5310.7625221371936</v>
      </c>
      <c r="S56" s="7">
        <f>VLOOKUP(Úsporná_opatření[[#This Row],[Šetřený nositel energie]] &amp; "#" &amp; Úsporná_opatření[[#This Row],[Nejpodobnější sektor]],Emiskoef,2,FALSE)</f>
        <v>243.30535699975164</v>
      </c>
      <c r="T56" s="7">
        <f>VLOOKUP(Úsporná_opatření[[#This Row],[Šetřený nositel energie]] &amp; "#" &amp; Úsporná_opatření[[#This Row],[Nejpodobnější sektor]],Emiskoef,3,FALSE)</f>
        <v>2.5994178058499644</v>
      </c>
      <c r="U56" s="7">
        <f>VLOOKUP(Úsporná_opatření[[#This Row],[Šetřený nositel energie]] &amp; "#" &amp; Úsporná_opatření[[#This Row],[Nejpodobnější sektor]],Emiskoef,4,FALSE)</f>
        <v>3.4119963077868793</v>
      </c>
      <c r="V5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6" s="4">
        <f>1000*Úsporná_opatření[[#This Row],[Investice '[Kč/GJ']]]/Úsporná_opatření[[#This Row],[Emisní koeficient CO2 eq '[kg/GJ']]]</f>
        <v>93294.606719588104</v>
      </c>
      <c r="X56" s="7" t="s">
        <v>353</v>
      </c>
    </row>
    <row r="57" spans="2:24" x14ac:dyDescent="0.25">
      <c r="B57" s="3" t="s">
        <v>6</v>
      </c>
      <c r="C57" s="3" t="s">
        <v>0</v>
      </c>
      <c r="D57" s="3" t="s">
        <v>264</v>
      </c>
      <c r="E57" s="3" t="str">
        <f>CONCATENATE(Úsporná_opatření[[#This Row],[Sektor]],Úsporná_opatření[[#This Row],[Opatření]])</f>
        <v>SlužbyInstalace fotovoltaických systémů (pro výrobu elektřiny)</v>
      </c>
      <c r="F57" s="4">
        <v>22800</v>
      </c>
      <c r="G57" s="11">
        <f>VLOOKUP(Úsporná_opatření[[#This Row],[Opatření podrobně]],Potenciál_opatření!$A$1:$C$191,3,0)</f>
        <v>0.8214285714285714</v>
      </c>
      <c r="H57" s="13">
        <f>Úsporná_opatření[[#This Row],[Potenciál úspor energie v TJ]]*Úsporná_opatření[[#This Row],[Investice '[Kč/GJ']]]*1000</f>
        <v>12075904224.854748</v>
      </c>
      <c r="I57" s="13">
        <f>Úsporná_opatření[[#This Row],[Podíl dotace '[%']]]*Úsporná_opatření[[#This Row],[Investice]]</f>
        <v>9919492756.1306858</v>
      </c>
      <c r="J57" s="3">
        <v>28</v>
      </c>
      <c r="K57" s="12">
        <f>VLOOKUP(Úsporná_opatření[[#This Row],[Opatření podrobně]],Potenciál_opatření!$A$1:$C$191,2,0)</f>
        <v>529.64492214275208</v>
      </c>
      <c r="L57" s="3">
        <v>20</v>
      </c>
      <c r="M57" s="3" t="s">
        <v>12</v>
      </c>
      <c r="N57" s="3" t="s">
        <v>6</v>
      </c>
      <c r="O57" s="4">
        <f>Úsporná_opatření[[#This Row],[Potenciál úspor energie v TJ]]*Úsporná_opatření[[#This Row],[Emisní koeficient CO2 '[kg/GJ']]]</f>
        <v>128865.44686504795</v>
      </c>
      <c r="P57" s="4">
        <f>Úsporná_opatření[[#This Row],[Potenciál úspor energie v TJ]]*Úsporná_opatření[[#This Row],[Emisní koeficient CH4 '[g/GJ']]]</f>
        <v>1376.7684413958877</v>
      </c>
      <c r="Q57" s="4">
        <f>Úsporná_opatření[[#This Row],[Potenciál úspor energie v TJ]]*Úsporná_opatření[[#This Row],[Emisní koeficient N2O '[g/GJ']]]</f>
        <v>1807.1465187891392</v>
      </c>
      <c r="R57" s="4">
        <f>Úsporná_opatření[[#This Row],[Potenciál úspor energie v TJ]]*Úsporná_opatření[[#This Row],[Emisní koeficient CO2 eq '[kg/GJ']]]</f>
        <v>129438.39573868203</v>
      </c>
      <c r="S57" s="7">
        <f>VLOOKUP(Úsporná_opatření[[#This Row],[Šetřený nositel energie]] &amp; "#" &amp; Úsporná_opatření[[#This Row],[Nejpodobnější sektor]],Emiskoef,2,FALSE)</f>
        <v>243.30535699975164</v>
      </c>
      <c r="T57" s="7">
        <f>VLOOKUP(Úsporná_opatření[[#This Row],[Šetřený nositel energie]] &amp; "#" &amp; Úsporná_opatření[[#This Row],[Nejpodobnější sektor]],Emiskoef,3,FALSE)</f>
        <v>2.5994178058499644</v>
      </c>
      <c r="U57" s="7">
        <f>VLOOKUP(Úsporná_opatření[[#This Row],[Šetřený nositel energie]] &amp; "#" &amp; Úsporná_opatření[[#This Row],[Nejpodobnější sektor]],Emiskoef,4,FALSE)</f>
        <v>3.4119963077868793</v>
      </c>
      <c r="V5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7" s="4">
        <f>1000*Úsporná_opatření[[#This Row],[Investice '[Kč/GJ']]]/Úsporná_opatření[[#This Row],[Emisní koeficient CO2 eq '[kg/GJ']]]</f>
        <v>93294.606719588104</v>
      </c>
      <c r="X57" s="7" t="s">
        <v>353</v>
      </c>
    </row>
    <row r="58" spans="2:24" x14ac:dyDescent="0.25">
      <c r="B58" s="3" t="s">
        <v>311</v>
      </c>
      <c r="C58" s="3" t="s">
        <v>0</v>
      </c>
      <c r="D58" s="3" t="s">
        <v>265</v>
      </c>
      <c r="E58" s="3" t="str">
        <f>CONCATENATE(Úsporná_opatření[[#This Row],[Sektor]],Úsporná_opatření[[#This Row],[Opatření]])</f>
        <v>veřejná správaInstalace fotovoltaických systémů (pro výrobu elektřiny)</v>
      </c>
      <c r="F58" s="4">
        <v>22800</v>
      </c>
      <c r="G58" s="11">
        <f>VLOOKUP(Úsporná_opatření[[#This Row],[Opatření podrobně]],Potenciál_opatření!$A$1:$C$191,3,0)</f>
        <v>0.5714285714285714</v>
      </c>
      <c r="H58" s="13">
        <f>Úsporná_opatření[[#This Row],[Potenciál úspor energie v TJ]]*Úsporná_opatření[[#This Row],[Investice '[Kč/GJ']]]*1000</f>
        <v>9538386494.4127464</v>
      </c>
      <c r="I58" s="13">
        <f>Úsporná_opatření[[#This Row],[Podíl dotace '[%']]]*Úsporná_opatření[[#This Row],[Investice]]</f>
        <v>5450506568.2358551</v>
      </c>
      <c r="J58" s="3">
        <v>28</v>
      </c>
      <c r="K58" s="12">
        <f>VLOOKUP(Úsporná_opatření[[#This Row],[Opatření podrobně]],Potenciál_opatření!$A$1:$C$191,2,0)</f>
        <v>418.35028484266428</v>
      </c>
      <c r="L58" s="3">
        <v>20</v>
      </c>
      <c r="M58" s="3" t="s">
        <v>12</v>
      </c>
      <c r="N58" s="3" t="s">
        <v>8</v>
      </c>
      <c r="O58" s="4">
        <f>Úsporná_opatření[[#This Row],[Potenciál úspor energie v TJ]]*Úsporná_opatření[[#This Row],[Emisní koeficient CO2 '[kg/GJ']]]</f>
        <v>101786.86540459222</v>
      </c>
      <c r="P58" s="4">
        <f>Úsporná_opatření[[#This Row],[Potenciál úspor energie v TJ]]*Úsporná_opatření[[#This Row],[Emisní koeficient CH4 '[g/GJ']]]</f>
        <v>1087.467179502426</v>
      </c>
      <c r="Q58" s="4">
        <f>Úsporná_opatření[[#This Row],[Potenciál úspor energie v TJ]]*Úsporná_opatření[[#This Row],[Emisní koeficient N2O '[g/GJ']]]</f>
        <v>1427.4096272447598</v>
      </c>
      <c r="R58" s="4">
        <f>Úsporná_opatření[[#This Row],[Potenciál úspor energie v TJ]]*Úsporná_opatření[[#This Row],[Emisní koeficient CO2 eq '[kg/GJ']]]</f>
        <v>102239.42015299872</v>
      </c>
      <c r="S58" s="7">
        <f>VLOOKUP(Úsporná_opatření[[#This Row],[Šetřený nositel energie]] &amp; "#" &amp; Úsporná_opatření[[#This Row],[Nejpodobnější sektor]],Emiskoef,2,FALSE)</f>
        <v>243.30535699975164</v>
      </c>
      <c r="T58" s="7">
        <f>VLOOKUP(Úsporná_opatření[[#This Row],[Šetřený nositel energie]] &amp; "#" &amp; Úsporná_opatření[[#This Row],[Nejpodobnější sektor]],Emiskoef,3,FALSE)</f>
        <v>2.5994178058499644</v>
      </c>
      <c r="U58" s="7">
        <f>VLOOKUP(Úsporná_opatření[[#This Row],[Šetřený nositel energie]] &amp; "#" &amp; Úsporná_opatření[[#This Row],[Nejpodobnější sektor]],Emiskoef,4,FALSE)</f>
        <v>3.4119963077868793</v>
      </c>
      <c r="V5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8" s="4">
        <f>1000*Úsporná_opatření[[#This Row],[Investice '[Kč/GJ']]]/Úsporná_opatření[[#This Row],[Emisní koeficient CO2 eq '[kg/GJ']]]</f>
        <v>93294.606719588104</v>
      </c>
      <c r="X58" s="7" t="s">
        <v>353</v>
      </c>
    </row>
    <row r="59" spans="2:24" x14ac:dyDescent="0.25">
      <c r="B59" s="3" t="s">
        <v>19</v>
      </c>
      <c r="C59" s="3" t="s">
        <v>0</v>
      </c>
      <c r="D59" s="3" t="s">
        <v>266</v>
      </c>
      <c r="E59" s="3" t="str">
        <f>CONCATENATE(Úsporná_opatření[[#This Row],[Sektor]],Úsporná_opatření[[#This Row],[Opatření]])</f>
        <v>DopravaInstalace fotovoltaických systémů (pro výrobu elektřiny)</v>
      </c>
      <c r="F59" s="4">
        <v>22800</v>
      </c>
      <c r="G59" s="11">
        <f>VLOOKUP(Úsporná_opatření[[#This Row],[Opatření podrobně]],Potenciál_opatření!$A$1:$C$191,3,0)</f>
        <v>0.8214285714285714</v>
      </c>
      <c r="H59" s="13">
        <f>Úsporná_opatření[[#This Row],[Potenciál úspor energie v TJ]]*Úsporná_opatření[[#This Row],[Investice '[Kč/GJ']]]*1000</f>
        <v>247576047.72460029</v>
      </c>
      <c r="I59" s="13">
        <f>Úsporná_opatření[[#This Row],[Podíl dotace '[%']]]*Úsporná_opatření[[#This Row],[Investice]]</f>
        <v>203366039.20235023</v>
      </c>
      <c r="J59" s="3">
        <v>28</v>
      </c>
      <c r="K59" s="12">
        <f>VLOOKUP(Úsporná_opatření[[#This Row],[Opatření podrobně]],Potenciál_opatření!$A$1:$C$191,2,0)</f>
        <v>10.858598584412293</v>
      </c>
      <c r="L59" s="3">
        <v>20</v>
      </c>
      <c r="M59" s="3" t="s">
        <v>12</v>
      </c>
      <c r="N59" s="3" t="s">
        <v>19</v>
      </c>
      <c r="O59" s="4">
        <f>Úsporná_opatření[[#This Row],[Potenciál úspor energie v TJ]]*Úsporná_opatření[[#This Row],[Emisní koeficient CO2 '[kg/GJ']]]</f>
        <v>2641.9552050974307</v>
      </c>
      <c r="P59" s="4">
        <f>Úsporná_opatření[[#This Row],[Potenciál úspor energie v TJ]]*Úsporná_opatření[[#This Row],[Emisní koeficient CH4 '[g/GJ']]]</f>
        <v>28.226034506898532</v>
      </c>
      <c r="Q59" s="4">
        <f>Úsporná_opatření[[#This Row],[Potenciál úspor energie v TJ]]*Úsporná_opatření[[#This Row],[Emisní koeficient N2O '[g/GJ']]]</f>
        <v>37.04949827775458</v>
      </c>
      <c r="R59" s="4">
        <f>Úsporná_opatření[[#This Row],[Potenciál úspor energie v TJ]]*Úsporná_opatření[[#This Row],[Emisní koeficient CO2 eq '[kg/GJ']]]</f>
        <v>2653.7016064468744</v>
      </c>
      <c r="S59" s="7">
        <f>VLOOKUP(Úsporná_opatření[[#This Row],[Šetřený nositel energie]] &amp; "#" &amp; Úsporná_opatření[[#This Row],[Nejpodobnější sektor]],Emiskoef,2,FALSE)</f>
        <v>243.30535699975164</v>
      </c>
      <c r="T59" s="7">
        <f>VLOOKUP(Úsporná_opatření[[#This Row],[Šetřený nositel energie]] &amp; "#" &amp; Úsporná_opatření[[#This Row],[Nejpodobnější sektor]],Emiskoef,3,FALSE)</f>
        <v>2.5994178058499644</v>
      </c>
      <c r="U59" s="7">
        <f>VLOOKUP(Úsporná_opatření[[#This Row],[Šetřený nositel energie]] &amp; "#" &amp; Úsporná_opatření[[#This Row],[Nejpodobnější sektor]],Emiskoef,4,FALSE)</f>
        <v>3.4119963077868793</v>
      </c>
      <c r="V5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9" s="4">
        <f>1000*Úsporná_opatření[[#This Row],[Investice '[Kč/GJ']]]/Úsporná_opatření[[#This Row],[Emisní koeficient CO2 eq '[kg/GJ']]]</f>
        <v>93294.606719588104</v>
      </c>
      <c r="X59" s="7" t="s">
        <v>353</v>
      </c>
    </row>
    <row r="60" spans="2:24" x14ac:dyDescent="0.25">
      <c r="B60" s="3" t="s">
        <v>7</v>
      </c>
      <c r="C60" s="3" t="s">
        <v>0</v>
      </c>
      <c r="D60" s="3" t="s">
        <v>276</v>
      </c>
      <c r="E60" s="3" t="str">
        <f>CONCATENATE(Úsporná_opatření[[#This Row],[Sektor]],Úsporná_opatření[[#This Row],[Opatření]])</f>
        <v>DomácnostiInstalace fotovoltaických systémů (pro výrobu elektřiny)</v>
      </c>
      <c r="F60" s="4">
        <v>38000</v>
      </c>
      <c r="G60" s="11">
        <f>VLOOKUP(Úsporná_opatření[[#This Row],[Opatření podrobně]],Potenciál_opatření!$A$1:$C$191,3,0)</f>
        <v>0.5714285714285714</v>
      </c>
      <c r="H60" s="13">
        <f>Úsporná_opatření[[#This Row],[Potenciál úspor energie v TJ]]*Úsporná_opatření[[#This Row],[Investice '[Kč/GJ']]]*1000</f>
        <v>35116584317.588257</v>
      </c>
      <c r="I60" s="13">
        <f>Úsporná_opatření[[#This Row],[Podíl dotace '[%']]]*Úsporná_opatření[[#This Row],[Investice]]</f>
        <v>20066619610.05043</v>
      </c>
      <c r="J60" s="3">
        <v>28</v>
      </c>
      <c r="K60" s="12">
        <f>VLOOKUP(Úsporná_opatření[[#This Row],[Opatření podrobně]],Potenciál_opatření!$A$1:$C$191,2,0)</f>
        <v>924.12063993653294</v>
      </c>
      <c r="L60" s="3">
        <v>20</v>
      </c>
      <c r="M60" s="3" t="s">
        <v>12</v>
      </c>
      <c r="N60" s="3" t="s">
        <v>7</v>
      </c>
      <c r="O60" s="4">
        <f>Úsporná_opatření[[#This Row],[Potenciál úspor energie v TJ]]*Úsporná_opatření[[#This Row],[Emisní koeficient CO2 '[kg/GJ']]]</f>
        <v>224843.5022105971</v>
      </c>
      <c r="P60" s="4">
        <f>Úsporná_opatření[[#This Row],[Potenciál úspor energie v TJ]]*Úsporná_opatření[[#This Row],[Emisní koeficient CH4 '[g/GJ']]]</f>
        <v>2402.1756462044873</v>
      </c>
      <c r="Q60" s="4">
        <f>Úsporná_opatření[[#This Row],[Potenciál úspor energie v TJ]]*Úsporná_opatření[[#This Row],[Emisní koeficient N2O '[g/GJ']]]</f>
        <v>3153.0962114130984</v>
      </c>
      <c r="R60" s="4">
        <f>Úsporná_opatření[[#This Row],[Potenciál úspor energie v TJ]]*Úsporná_opatření[[#This Row],[Emisní koeficient CO2 eq '[kg/GJ']]]</f>
        <v>225843.1792727533</v>
      </c>
      <c r="S60" s="7">
        <f>VLOOKUP(Úsporná_opatření[[#This Row],[Šetřený nositel energie]] &amp; "#" &amp; Úsporná_opatření[[#This Row],[Nejpodobnější sektor]],Emiskoef,2,FALSE)</f>
        <v>243.30535699975164</v>
      </c>
      <c r="T60" s="7">
        <f>VLOOKUP(Úsporná_opatření[[#This Row],[Šetřený nositel energie]] &amp; "#" &amp; Úsporná_opatření[[#This Row],[Nejpodobnější sektor]],Emiskoef,3,FALSE)</f>
        <v>2.5994178058499644</v>
      </c>
      <c r="U60" s="7">
        <f>VLOOKUP(Úsporná_opatření[[#This Row],[Šetřený nositel energie]] &amp; "#" &amp; Úsporná_opatření[[#This Row],[Nejpodobnější sektor]],Emiskoef,4,FALSE)</f>
        <v>3.4119963077868793</v>
      </c>
      <c r="V6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60" s="4">
        <f>1000*Úsporná_opatření[[#This Row],[Investice '[Kč/GJ']]]/Úsporná_opatření[[#This Row],[Emisní koeficient CO2 eq '[kg/GJ']]]</f>
        <v>155491.01119931351</v>
      </c>
      <c r="X60" s="7" t="s">
        <v>353</v>
      </c>
    </row>
    <row r="61" spans="2:24" x14ac:dyDescent="0.25">
      <c r="B61" s="3" t="s">
        <v>4</v>
      </c>
      <c r="C61" s="3" t="s">
        <v>65</v>
      </c>
      <c r="D61" s="3" t="s">
        <v>114</v>
      </c>
      <c r="E61" s="3" t="str">
        <f>CONCATENATE(Úsporná_opatření[[#This Row],[Sektor]],Úsporná_opatření[[#This Row],[Opatření]])</f>
        <v>PrůmyslInstalace frekvenčních měničů</v>
      </c>
      <c r="F61" s="4">
        <v>1500</v>
      </c>
      <c r="G61" s="11">
        <f>VLOOKUP(Úsporná_opatření[[#This Row],[Opatření podrobně]],Potenciál_opatření!$A$1:$C$191,3,0)</f>
        <v>0</v>
      </c>
      <c r="H61" s="13">
        <f>Úsporná_opatření[[#This Row],[Potenciál úspor energie v TJ]]*Úsporná_opatření[[#This Row],[Investice '[Kč/GJ']]]*1000</f>
        <v>67462675.886812508</v>
      </c>
      <c r="I61" s="13">
        <f>Úsporná_opatření[[#This Row],[Podíl dotace '[%']]]*Úsporná_opatření[[#This Row],[Investice]]</f>
        <v>0</v>
      </c>
      <c r="J61" s="3">
        <v>2</v>
      </c>
      <c r="K61" s="12">
        <f>VLOOKUP(Úsporná_opatření[[#This Row],[Opatření podrobně]],Potenciál_opatření!$A$1:$C$191,2,0)</f>
        <v>44.975117257874999</v>
      </c>
      <c r="L61" s="3">
        <v>15</v>
      </c>
      <c r="M61" s="3" t="s">
        <v>12</v>
      </c>
      <c r="N61" s="3" t="s">
        <v>4</v>
      </c>
      <c r="O61" s="4">
        <f>Úsporná_opatření[[#This Row],[Potenciál úspor energie v TJ]]*Úsporná_opatření[[#This Row],[Emisní koeficient CO2 '[kg/GJ']]]</f>
        <v>10942.686960532967</v>
      </c>
      <c r="P61" s="4">
        <f>Úsporná_opatření[[#This Row],[Potenciál úspor energie v TJ]]*Úsporná_opatření[[#This Row],[Emisní koeficient CH4 '[g/GJ']]]</f>
        <v>116.90912062031029</v>
      </c>
      <c r="Q61" s="4">
        <f>Úsporná_opatření[[#This Row],[Potenciál úspor energie v TJ]]*Úsporná_opatření[[#This Row],[Emisní koeficient N2O '[g/GJ']]]</f>
        <v>153.45493402615145</v>
      </c>
      <c r="R61" s="4">
        <f>Úsporná_opatření[[#This Row],[Potenciál úspor energie v TJ]]*Úsporná_opatření[[#This Row],[Emisní koeficient CO2 eq '[kg/GJ']]]</f>
        <v>10991.339258888269</v>
      </c>
      <c r="S61" s="7">
        <f>VLOOKUP(Úsporná_opatření[[#This Row],[Šetřený nositel energie]] &amp; "#" &amp; Úsporná_opatření[[#This Row],[Nejpodobnější sektor]],Emiskoef,2,FALSE)</f>
        <v>243.30535699975164</v>
      </c>
      <c r="T61" s="7">
        <f>VLOOKUP(Úsporná_opatření[[#This Row],[Šetřený nositel energie]] &amp; "#" &amp; Úsporná_opatření[[#This Row],[Nejpodobnější sektor]],Emiskoef,3,FALSE)</f>
        <v>2.5994178058499644</v>
      </c>
      <c r="U61" s="7">
        <f>VLOOKUP(Úsporná_opatření[[#This Row],[Šetřený nositel energie]] &amp; "#" &amp; Úsporná_opatření[[#This Row],[Nejpodobnější sektor]],Emiskoef,4,FALSE)</f>
        <v>3.4119963077868793</v>
      </c>
      <c r="V6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61" s="4">
        <f>1000*Úsporná_opatření[[#This Row],[Investice '[Kč/GJ']]]/Úsporná_opatření[[#This Row],[Emisní koeficient CO2 eq '[kg/GJ']]]</f>
        <v>6137.8030736571118</v>
      </c>
      <c r="X61" s="7" t="s">
        <v>351</v>
      </c>
    </row>
    <row r="62" spans="2:24" x14ac:dyDescent="0.25">
      <c r="B62" s="3" t="s">
        <v>4</v>
      </c>
      <c r="C62" s="3" t="s">
        <v>65</v>
      </c>
      <c r="D62" s="3" t="s">
        <v>125</v>
      </c>
      <c r="E62" s="3" t="str">
        <f>CONCATENATE(Úsporná_opatření[[#This Row],[Sektor]],Úsporná_opatření[[#This Row],[Opatření]])</f>
        <v>PrůmyslInstalace frekvenčních měničů</v>
      </c>
      <c r="F62" s="4">
        <v>2100</v>
      </c>
      <c r="G62" s="11">
        <f>VLOOKUP(Úsporná_opatření[[#This Row],[Opatření podrobně]],Potenciál_opatření!$A$1:$C$191,3,0)</f>
        <v>0.16666666666666663</v>
      </c>
      <c r="H62" s="13">
        <f>Úsporná_opatření[[#This Row],[Potenciál úspor energie v TJ]]*Úsporná_opatření[[#This Row],[Investice '[Kč/GJ']]]*1000</f>
        <v>944477462.41537476</v>
      </c>
      <c r="I62" s="13">
        <f>Úsporná_opatření[[#This Row],[Podíl dotace '[%']]]*Úsporná_opatření[[#This Row],[Investice]]</f>
        <v>157412910.40256241</v>
      </c>
      <c r="J62" s="3">
        <v>6</v>
      </c>
      <c r="K62" s="12">
        <f>VLOOKUP(Úsporná_opatření[[#This Row],[Opatření podrobně]],Potenciál_opatření!$A$1:$C$191,2,0)</f>
        <v>449.7511725787499</v>
      </c>
      <c r="L62" s="3">
        <v>15</v>
      </c>
      <c r="M62" s="3" t="s">
        <v>12</v>
      </c>
      <c r="N62" s="3" t="s">
        <v>4</v>
      </c>
      <c r="O62" s="4">
        <f>Úsporná_opatření[[#This Row],[Potenciál úspor energie v TJ]]*Úsporná_opatření[[#This Row],[Emisní koeficient CO2 '[kg/GJ']]]</f>
        <v>109426.86960532966</v>
      </c>
      <c r="P62" s="4">
        <f>Úsporná_opatření[[#This Row],[Potenciál úspor energie v TJ]]*Úsporná_opatření[[#This Row],[Emisní koeficient CH4 '[g/GJ']]]</f>
        <v>1169.0912062031027</v>
      </c>
      <c r="Q62" s="4">
        <f>Úsporná_opatření[[#This Row],[Potenciál úspor energie v TJ]]*Úsporná_opatření[[#This Row],[Emisní koeficient N2O '[g/GJ']]]</f>
        <v>1534.5493402615143</v>
      </c>
      <c r="R62" s="4">
        <f>Úsporná_opatření[[#This Row],[Potenciál úspor energie v TJ]]*Úsporná_opatření[[#This Row],[Emisní koeficient CO2 eq '[kg/GJ']]]</f>
        <v>109913.39258888266</v>
      </c>
      <c r="S62" s="7">
        <f>VLOOKUP(Úsporná_opatření[[#This Row],[Šetřený nositel energie]] &amp; "#" &amp; Úsporná_opatření[[#This Row],[Nejpodobnější sektor]],Emiskoef,2,FALSE)</f>
        <v>243.30535699975164</v>
      </c>
      <c r="T62" s="7">
        <f>VLOOKUP(Úsporná_opatření[[#This Row],[Šetřený nositel energie]] &amp; "#" &amp; Úsporná_opatření[[#This Row],[Nejpodobnější sektor]],Emiskoef,3,FALSE)</f>
        <v>2.5994178058499644</v>
      </c>
      <c r="U62" s="7">
        <f>VLOOKUP(Úsporná_opatření[[#This Row],[Šetřený nositel energie]] &amp; "#" &amp; Úsporná_opatření[[#This Row],[Nejpodobnější sektor]],Emiskoef,4,FALSE)</f>
        <v>3.4119963077868793</v>
      </c>
      <c r="V6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62" s="4">
        <f>1000*Úsporná_opatření[[#This Row],[Investice '[Kč/GJ']]]/Úsporná_opatření[[#This Row],[Emisní koeficient CO2 eq '[kg/GJ']]]</f>
        <v>8592.9243031199567</v>
      </c>
      <c r="X62" s="7" t="s">
        <v>352</v>
      </c>
    </row>
    <row r="63" spans="2:24" x14ac:dyDescent="0.25">
      <c r="B63" s="3" t="s">
        <v>4</v>
      </c>
      <c r="C63" s="3" t="s">
        <v>65</v>
      </c>
      <c r="D63" s="3" t="s">
        <v>172</v>
      </c>
      <c r="E63" s="3" t="str">
        <f>CONCATENATE(Úsporná_opatření[[#This Row],[Sektor]],Úsporná_opatření[[#This Row],[Opatření]])</f>
        <v>PrůmyslInstalace frekvenčních měničů</v>
      </c>
      <c r="F63" s="4">
        <v>5400</v>
      </c>
      <c r="G63" s="11">
        <f>VLOOKUP(Úsporná_opatření[[#This Row],[Opatření podrobně]],Potenciál_opatření!$A$1:$C$191,3,0)</f>
        <v>0.58333333333333326</v>
      </c>
      <c r="H63" s="13">
        <f>Úsporná_opatření[[#This Row],[Potenciál úspor energie v TJ]]*Úsporná_opatření[[#This Row],[Investice '[Kč/GJ']]]*1000</f>
        <v>2185790698.7327247</v>
      </c>
      <c r="I63" s="13">
        <f>Úsporná_opatření[[#This Row],[Podíl dotace '[%']]]*Úsporná_opatření[[#This Row],[Investice]]</f>
        <v>1275044574.2607558</v>
      </c>
      <c r="J63" s="3">
        <v>12</v>
      </c>
      <c r="K63" s="12">
        <f>VLOOKUP(Úsporná_opatření[[#This Row],[Opatření podrobně]],Potenciál_opatření!$A$1:$C$191,2,0)</f>
        <v>404.77605532087495</v>
      </c>
      <c r="L63" s="3">
        <v>15</v>
      </c>
      <c r="M63" s="3" t="s">
        <v>12</v>
      </c>
      <c r="N63" s="3" t="s">
        <v>4</v>
      </c>
      <c r="O63" s="4">
        <f>Úsporná_opatření[[#This Row],[Potenciál úspor energie v TJ]]*Úsporná_opatření[[#This Row],[Emisní koeficient CO2 '[kg/GJ']]]</f>
        <v>98484.182644796703</v>
      </c>
      <c r="P63" s="4">
        <f>Úsporná_opatření[[#This Row],[Potenciál úspor energie v TJ]]*Úsporná_opatření[[#This Row],[Emisní koeficient CH4 '[g/GJ']]]</f>
        <v>1052.1820855827925</v>
      </c>
      <c r="Q63" s="4">
        <f>Úsporná_opatření[[#This Row],[Potenciál úspor energie v TJ]]*Úsporná_opatření[[#This Row],[Emisní koeficient N2O '[g/GJ']]]</f>
        <v>1381.0944062353628</v>
      </c>
      <c r="R63" s="4">
        <f>Úsporná_opatření[[#This Row],[Potenciál úspor energie v TJ]]*Úsporná_opatření[[#This Row],[Emisní koeficient CO2 eq '[kg/GJ']]]</f>
        <v>98922.053329994407</v>
      </c>
      <c r="S63" s="7">
        <f>VLOOKUP(Úsporná_opatření[[#This Row],[Šetřený nositel energie]] &amp; "#" &amp; Úsporná_opatření[[#This Row],[Nejpodobnější sektor]],Emiskoef,2,FALSE)</f>
        <v>243.30535699975164</v>
      </c>
      <c r="T63" s="7">
        <f>VLOOKUP(Úsporná_opatření[[#This Row],[Šetřený nositel energie]] &amp; "#" &amp; Úsporná_opatření[[#This Row],[Nejpodobnější sektor]],Emiskoef,3,FALSE)</f>
        <v>2.5994178058499644</v>
      </c>
      <c r="U63" s="7">
        <f>VLOOKUP(Úsporná_opatření[[#This Row],[Šetřený nositel energie]] &amp; "#" &amp; Úsporná_opatření[[#This Row],[Nejpodobnější sektor]],Emiskoef,4,FALSE)</f>
        <v>3.4119963077868793</v>
      </c>
      <c r="V6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63" s="4">
        <f>1000*Úsporná_opatření[[#This Row],[Investice '[Kč/GJ']]]/Úsporná_opatření[[#This Row],[Emisní koeficient CO2 eq '[kg/GJ']]]</f>
        <v>22096.091065165601</v>
      </c>
      <c r="X63" s="7" t="s">
        <v>353</v>
      </c>
    </row>
    <row r="64" spans="2:24" x14ac:dyDescent="0.25">
      <c r="B64" s="3" t="s">
        <v>4</v>
      </c>
      <c r="C64" s="3" t="s">
        <v>2</v>
      </c>
      <c r="D64" s="3" t="s">
        <v>95</v>
      </c>
      <c r="E64" s="3" t="str">
        <f>CONCATENATE(Úsporná_opatření[[#This Row],[Sektor]],Úsporná_opatření[[#This Row],[Opatření]])</f>
        <v>PrůmyslInstalace kogenerační jednotky</v>
      </c>
      <c r="F64" s="4">
        <v>350</v>
      </c>
      <c r="G64" s="11">
        <f>VLOOKUP(Úsporná_opatření[[#This Row],[Opatření podrobně]],Potenciál_opatření!$A$1:$C$191,3,0)</f>
        <v>0</v>
      </c>
      <c r="H64" s="13">
        <f>Úsporná_opatření[[#This Row],[Potenciál úspor energie v TJ]]*Úsporná_opatření[[#This Row],[Investice '[Kč/GJ']]]*1000</f>
        <v>153384599.5166862</v>
      </c>
      <c r="I64" s="13">
        <f>Úsporná_opatření[[#This Row],[Podíl dotace '[%']]]*Úsporná_opatření[[#This Row],[Investice]]</f>
        <v>0</v>
      </c>
      <c r="J64" s="3">
        <v>5</v>
      </c>
      <c r="K64" s="12">
        <f>VLOOKUP(Úsporná_opatření[[#This Row],[Opatření podrobně]],Potenciál_opatření!$A$1:$C$191,2,0)</f>
        <v>438.24171290481769</v>
      </c>
      <c r="L64" s="3">
        <v>15</v>
      </c>
      <c r="M64" s="3" t="s">
        <v>44</v>
      </c>
      <c r="N64" s="3" t="s">
        <v>4</v>
      </c>
      <c r="O64" s="4">
        <f>Úsporná_opatření[[#This Row],[Potenciál úspor energie v TJ]]*Úsporná_opatření[[#This Row],[Emisní koeficient CO2 '[kg/GJ']]]</f>
        <v>29055.159835433031</v>
      </c>
      <c r="P64" s="4">
        <f>Úsporná_opatření[[#This Row],[Potenciál úspor energie v TJ]]*Úsporná_opatření[[#This Row],[Emisní koeficient CH4 '[g/GJ']]]</f>
        <v>2111.310055442817</v>
      </c>
      <c r="Q64" s="4">
        <f>Úsporná_opatření[[#This Row],[Potenciál úspor energie v TJ]]*Úsporná_opatření[[#This Row],[Emisní koeficient N2O '[g/GJ']]]</f>
        <v>370.33729594448545</v>
      </c>
      <c r="R64" s="4">
        <f>Úsporná_opatření[[#This Row],[Potenciál úspor energie v TJ]]*Úsporná_opatření[[#This Row],[Emisní koeficient CO2 eq '[kg/GJ']]]</f>
        <v>29218.303101010555</v>
      </c>
      <c r="S64" s="7">
        <f>VLOOKUP(Úsporná_opatření[[#This Row],[Šetřený nositel energie]] &amp; "#" &amp; Úsporná_opatření[[#This Row],[Nejpodobnější sektor]],Emiskoef,2,FALSE)</f>
        <v>66.299393644765985</v>
      </c>
      <c r="T64" s="7">
        <f>VLOOKUP(Úsporná_opatření[[#This Row],[Šetřený nositel energie]] &amp; "#" &amp; Úsporná_opatření[[#This Row],[Nejpodobnější sektor]],Emiskoef,3,FALSE)</f>
        <v>4.8176839248101775</v>
      </c>
      <c r="U64" s="7">
        <f>VLOOKUP(Úsporná_opatření[[#This Row],[Šetřený nositel energie]] &amp; "#" &amp; Úsporná_opatření[[#This Row],[Nejpodobnější sektor]],Emiskoef,4,FALSE)</f>
        <v>0.84505259321337012</v>
      </c>
      <c r="V64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64" s="4">
        <f>1000*Úsporná_opatření[[#This Row],[Investice '[Kč/GJ']]]/Úsporná_opatření[[#This Row],[Emisní koeficient CO2 eq '[kg/GJ']]]</f>
        <v>5249.6066929835215</v>
      </c>
      <c r="X64" s="7" t="s">
        <v>351</v>
      </c>
    </row>
    <row r="65" spans="2:24" x14ac:dyDescent="0.25">
      <c r="B65" s="3" t="s">
        <v>8</v>
      </c>
      <c r="C65" s="3" t="s">
        <v>2</v>
      </c>
      <c r="D65" s="3" t="s">
        <v>327</v>
      </c>
      <c r="E65" s="3" t="str">
        <f>CONCATENATE(Úsporná_opatření[[#This Row],[Sektor]],Úsporná_opatření[[#This Row],[Opatření]])</f>
        <v>Veřejná správaInstalace kogenerační jednotky</v>
      </c>
      <c r="F65" s="4">
        <v>500</v>
      </c>
      <c r="G65" s="11">
        <v>0.18</v>
      </c>
      <c r="H65" s="13">
        <f>Úsporná_opatření[[#This Row],[Potenciál úspor energie v TJ]]*Úsporná_opatření[[#This Row],[Investice '[Kč/GJ']]]*1000</f>
        <v>106000000</v>
      </c>
      <c r="I65" s="13">
        <f>Úsporná_opatření[[#This Row],[Podíl dotace '[%']]]*Úsporná_opatření[[#This Row],[Investice]]</f>
        <v>19080000</v>
      </c>
      <c r="J65" s="3">
        <v>5</v>
      </c>
      <c r="K65" s="12">
        <v>212</v>
      </c>
      <c r="L65" s="3">
        <v>15</v>
      </c>
      <c r="M65" s="3" t="s">
        <v>44</v>
      </c>
      <c r="N65" s="3" t="s">
        <v>8</v>
      </c>
      <c r="O65" s="4">
        <f>Úsporná_opatření[[#This Row],[Potenciál úspor energie v TJ]]*Úsporná_opatření[[#This Row],[Emisní koeficient CO2 '[kg/GJ']]]</f>
        <v>16182.19776877569</v>
      </c>
      <c r="P65" s="4">
        <f>Úsporná_opatření[[#This Row],[Potenciál úspor energie v TJ]]*Úsporná_opatření[[#This Row],[Emisní koeficient CH4 '[g/GJ']]]</f>
        <v>1586.0550136214699</v>
      </c>
      <c r="Q65" s="4">
        <f>Úsporná_opatření[[#This Row],[Potenciál úspor energie v TJ]]*Úsporná_opatření[[#This Row],[Emisní koeficient N2O '[g/GJ']]]</f>
        <v>159.57405737510555</v>
      </c>
      <c r="R65" s="4">
        <f>Úsporná_opatření[[#This Row],[Potenciál úspor energie v TJ]]*Úsporná_opatření[[#This Row],[Emisní koeficient CO2 eq '[kg/GJ']]]</f>
        <v>16269.402213214007</v>
      </c>
      <c r="S65" s="7">
        <f>VLOOKUP(Úsporná_opatření[[#This Row],[Šetřený nositel energie]] &amp; "#" &amp; Úsporná_opatření[[#This Row],[Nejpodobnější sektor]],Emiskoef,2,FALSE)</f>
        <v>76.331121550828726</v>
      </c>
      <c r="T65" s="7">
        <f>VLOOKUP(Úsporná_opatření[[#This Row],[Šetřený nositel energie]] &amp; "#" &amp; Úsporná_opatření[[#This Row],[Nejpodobnější sektor]],Emiskoef,3,FALSE)</f>
        <v>7.4813915736861789</v>
      </c>
      <c r="U65" s="7">
        <f>VLOOKUP(Úsporná_opatření[[#This Row],[Šetřený nositel energie]] &amp; "#" &amp; Úsporná_opatření[[#This Row],[Nejpodobnější sektor]],Emiskoef,4,FALSE)</f>
        <v>0.75270781780710172</v>
      </c>
      <c r="V65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5" s="4">
        <f>1000*Úsporná_opatření[[#This Row],[Investice '[Kč/GJ']]]/Úsporná_opatření[[#This Row],[Emisní koeficient CO2 eq '[kg/GJ']]]</f>
        <v>6515.2977725209112</v>
      </c>
      <c r="X65" s="7" t="s">
        <v>351</v>
      </c>
    </row>
    <row r="66" spans="2:24" x14ac:dyDescent="0.25">
      <c r="B66" s="3" t="s">
        <v>8</v>
      </c>
      <c r="C66" s="3" t="s">
        <v>2</v>
      </c>
      <c r="D66" s="3" t="s">
        <v>328</v>
      </c>
      <c r="E66" s="3" t="str">
        <f>CONCATENATE(Úsporná_opatření[[#This Row],[Sektor]],Úsporná_opatření[[#This Row],[Opatření]])</f>
        <v>Veřejná správaInstalace kogenerační jednotky</v>
      </c>
      <c r="F66" s="4">
        <v>800</v>
      </c>
      <c r="G66" s="11">
        <v>0.3</v>
      </c>
      <c r="H66" s="13">
        <f>Úsporná_opatření[[#This Row],[Potenciál úspor energie v TJ]]*Úsporná_opatření[[#This Row],[Investice '[Kč/GJ']]]*1000</f>
        <v>504000000</v>
      </c>
      <c r="I66" s="13">
        <f>Úsporná_opatření[[#This Row],[Podíl dotace '[%']]]*Úsporná_opatření[[#This Row],[Investice]]</f>
        <v>151200000</v>
      </c>
      <c r="J66" s="3">
        <v>8</v>
      </c>
      <c r="K66" s="12">
        <v>630</v>
      </c>
      <c r="L66" s="3">
        <v>15</v>
      </c>
      <c r="M66" s="3" t="s">
        <v>44</v>
      </c>
      <c r="N66" s="3" t="s">
        <v>8</v>
      </c>
      <c r="O66" s="4">
        <f>Úsporná_opatření[[#This Row],[Potenciál úspor energie v TJ]]*Úsporná_opatření[[#This Row],[Emisní koeficient CO2 '[kg/GJ']]]</f>
        <v>48088.606577022096</v>
      </c>
      <c r="P66" s="4">
        <f>Úsporná_opatření[[#This Row],[Potenciál úspor energie v TJ]]*Úsporná_opatření[[#This Row],[Emisní koeficient CH4 '[g/GJ']]]</f>
        <v>4713.276691422293</v>
      </c>
      <c r="Q66" s="4">
        <f>Úsporná_opatření[[#This Row],[Potenciál úspor energie v TJ]]*Úsporná_opatření[[#This Row],[Emisní koeficient N2O '[g/GJ']]]</f>
        <v>474.20592521847408</v>
      </c>
      <c r="R66" s="4">
        <f>Úsporná_opatření[[#This Row],[Potenciál úspor energie v TJ]]*Úsporná_opatření[[#This Row],[Emisní koeficient CO2 eq '[kg/GJ']]]</f>
        <v>48347.751860022756</v>
      </c>
      <c r="S66" s="7">
        <f>VLOOKUP(Úsporná_opatření[[#This Row],[Šetřený nositel energie]] &amp; "#" &amp; Úsporná_opatření[[#This Row],[Nejpodobnější sektor]],Emiskoef,2,FALSE)</f>
        <v>76.331121550828726</v>
      </c>
      <c r="T66" s="7">
        <f>VLOOKUP(Úsporná_opatření[[#This Row],[Šetřený nositel energie]] &amp; "#" &amp; Úsporná_opatření[[#This Row],[Nejpodobnější sektor]],Emiskoef,3,FALSE)</f>
        <v>7.4813915736861789</v>
      </c>
      <c r="U66" s="7">
        <f>VLOOKUP(Úsporná_opatření[[#This Row],[Šetřený nositel energie]] &amp; "#" &amp; Úsporná_opatření[[#This Row],[Nejpodobnější sektor]],Emiskoef,4,FALSE)</f>
        <v>0.75270781780710172</v>
      </c>
      <c r="V66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6" s="4">
        <f>1000*Úsporná_opatření[[#This Row],[Investice '[Kč/GJ']]]/Úsporná_opatření[[#This Row],[Emisní koeficient CO2 eq '[kg/GJ']]]</f>
        <v>10424.476436033458</v>
      </c>
      <c r="X66" s="7" t="s">
        <v>352</v>
      </c>
    </row>
    <row r="67" spans="2:24" x14ac:dyDescent="0.25">
      <c r="B67" s="3" t="s">
        <v>8</v>
      </c>
      <c r="C67" s="3" t="s">
        <v>2</v>
      </c>
      <c r="D67" s="3" t="s">
        <v>332</v>
      </c>
      <c r="E67" s="3" t="str">
        <f>CONCATENATE(Úsporná_opatření[[#This Row],[Sektor]],Úsporná_opatření[[#This Row],[Opatření]])</f>
        <v>Veřejná správaInstalace kogenerační jednotky</v>
      </c>
      <c r="F67" s="4">
        <v>1000</v>
      </c>
      <c r="G67" s="11">
        <v>0.45</v>
      </c>
      <c r="H67" s="13">
        <f>Úsporná_opatření[[#This Row],[Potenciál úspor energie v TJ]]*Úsporná_opatření[[#This Row],[Investice '[Kč/GJ']]]*1000</f>
        <v>327000000</v>
      </c>
      <c r="I67" s="13">
        <f>Úsporná_opatření[[#This Row],[Podíl dotace '[%']]]*Úsporná_opatření[[#This Row],[Investice]]</f>
        <v>147150000</v>
      </c>
      <c r="J67" s="3">
        <v>10</v>
      </c>
      <c r="K67" s="12">
        <v>327</v>
      </c>
      <c r="L67" s="3">
        <v>15</v>
      </c>
      <c r="M67" s="3" t="s">
        <v>44</v>
      </c>
      <c r="N67" s="3" t="s">
        <v>8</v>
      </c>
      <c r="O67" s="4">
        <f>Úsporná_opatření[[#This Row],[Potenciál úspor energie v TJ]]*Úsporná_opatření[[#This Row],[Emisní koeficient CO2 '[kg/GJ']]]</f>
        <v>24960.276747120992</v>
      </c>
      <c r="P67" s="4">
        <f>Úsporná_opatření[[#This Row],[Potenciál úspor energie v TJ]]*Úsporná_opatření[[#This Row],[Emisní koeficient CH4 '[g/GJ']]]</f>
        <v>2446.4150445953806</v>
      </c>
      <c r="Q67" s="4">
        <f>Úsporná_opatření[[#This Row],[Potenciál úspor energie v TJ]]*Úsporná_opatření[[#This Row],[Emisní koeficient N2O '[g/GJ']]]</f>
        <v>246.13545642292226</v>
      </c>
      <c r="R67" s="4">
        <f>Úsporná_opatření[[#This Row],[Potenciál úspor energie v TJ]]*Úsporná_opatření[[#This Row],[Emisní koeficient CO2 eq '[kg/GJ']]]</f>
        <v>25094.785489249905</v>
      </c>
      <c r="S67" s="7">
        <f>VLOOKUP(Úsporná_opatření[[#This Row],[Šetřený nositel energie]] &amp; "#" &amp; Úsporná_opatření[[#This Row],[Nejpodobnější sektor]],Emiskoef,2,FALSE)</f>
        <v>76.331121550828726</v>
      </c>
      <c r="T67" s="7">
        <f>VLOOKUP(Úsporná_opatření[[#This Row],[Šetřený nositel energie]] &amp; "#" &amp; Úsporná_opatření[[#This Row],[Nejpodobnější sektor]],Emiskoef,3,FALSE)</f>
        <v>7.4813915736861789</v>
      </c>
      <c r="U67" s="7">
        <f>VLOOKUP(Úsporná_opatření[[#This Row],[Šetřený nositel energie]] &amp; "#" &amp; Úsporná_opatření[[#This Row],[Nejpodobnější sektor]],Emiskoef,4,FALSE)</f>
        <v>0.75270781780710172</v>
      </c>
      <c r="V67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7" s="4">
        <f>1000*Úsporná_opatření[[#This Row],[Investice '[Kč/GJ']]]/Úsporná_opatření[[#This Row],[Emisní koeficient CO2 eq '[kg/GJ']]]</f>
        <v>13030.595545041822</v>
      </c>
      <c r="X67" s="7" t="s">
        <v>353</v>
      </c>
    </row>
    <row r="68" spans="2:24" x14ac:dyDescent="0.25">
      <c r="B68" s="3" t="s">
        <v>6</v>
      </c>
      <c r="C68" s="3" t="s">
        <v>2</v>
      </c>
      <c r="D68" s="3" t="s">
        <v>330</v>
      </c>
      <c r="E68" s="3" t="str">
        <f>CONCATENATE(Úsporná_opatření[[#This Row],[Sektor]],Úsporná_opatření[[#This Row],[Opatření]])</f>
        <v>SlužbyInstalace kogenerační jednotky</v>
      </c>
      <c r="F68" s="4">
        <v>500</v>
      </c>
      <c r="G68" s="11">
        <v>0.18</v>
      </c>
      <c r="H68" s="13">
        <f>Úsporná_opatření[[#This Row],[Potenciál úspor energie v TJ]]*Úsporná_opatření[[#This Row],[Investice '[Kč/GJ']]]*1000</f>
        <v>120000000</v>
      </c>
      <c r="I68" s="13">
        <f>Úsporná_opatření[[#This Row],[Podíl dotace '[%']]]*Úsporná_opatření[[#This Row],[Investice]]</f>
        <v>21600000</v>
      </c>
      <c r="J68" s="3">
        <v>5</v>
      </c>
      <c r="K68" s="12">
        <v>240</v>
      </c>
      <c r="L68" s="3">
        <v>15</v>
      </c>
      <c r="M68" s="3" t="s">
        <v>44</v>
      </c>
      <c r="N68" s="3" t="s">
        <v>6</v>
      </c>
      <c r="O68" s="4">
        <f>Úsporná_opatření[[#This Row],[Potenciál úspor energie v TJ]]*Úsporná_opatření[[#This Row],[Emisní koeficient CO2 '[kg/GJ']]]</f>
        <v>18319.469172198893</v>
      </c>
      <c r="P68" s="4">
        <f>Úsporná_opatření[[#This Row],[Potenciál úspor energie v TJ]]*Úsporná_opatření[[#This Row],[Emisní koeficient CH4 '[g/GJ']]]</f>
        <v>1795.5339776846829</v>
      </c>
      <c r="Q68" s="4">
        <f>Úsporná_opatření[[#This Row],[Potenciál úspor energie v TJ]]*Úsporná_opatření[[#This Row],[Emisní koeficient N2O '[g/GJ']]]</f>
        <v>180.64987627370442</v>
      </c>
      <c r="R68" s="4">
        <f>Úsporná_opatření[[#This Row],[Potenciál úspor energie v TJ]]*Úsporná_opatření[[#This Row],[Emisní koeficient CO2 eq '[kg/GJ']]]</f>
        <v>18418.191184770574</v>
      </c>
      <c r="S68" s="7">
        <f>VLOOKUP(Úsporná_opatření[[#This Row],[Šetřený nositel energie]] &amp; "#" &amp; Úsporná_opatření[[#This Row],[Nejpodobnější sektor]],Emiskoef,2,FALSE)</f>
        <v>76.331121550828726</v>
      </c>
      <c r="T68" s="7">
        <f>VLOOKUP(Úsporná_opatření[[#This Row],[Šetřený nositel energie]] &amp; "#" &amp; Úsporná_opatření[[#This Row],[Nejpodobnější sektor]],Emiskoef,3,FALSE)</f>
        <v>7.4813915736861789</v>
      </c>
      <c r="U68" s="7">
        <f>VLOOKUP(Úsporná_opatření[[#This Row],[Šetřený nositel energie]] &amp; "#" &amp; Úsporná_opatření[[#This Row],[Nejpodobnější sektor]],Emiskoef,4,FALSE)</f>
        <v>0.75270781780710172</v>
      </c>
      <c r="V68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8" s="4">
        <f>1000*Úsporná_opatření[[#This Row],[Investice '[Kč/GJ']]]/Úsporná_opatření[[#This Row],[Emisní koeficient CO2 eq '[kg/GJ']]]</f>
        <v>6515.2977725209112</v>
      </c>
      <c r="X68" s="7" t="s">
        <v>351</v>
      </c>
    </row>
    <row r="69" spans="2:24" x14ac:dyDescent="0.25">
      <c r="B69" s="3" t="s">
        <v>6</v>
      </c>
      <c r="C69" s="3" t="s">
        <v>2</v>
      </c>
      <c r="D69" s="3" t="s">
        <v>329</v>
      </c>
      <c r="E69" s="3" t="str">
        <f>CONCATENATE(Úsporná_opatření[[#This Row],[Sektor]],Úsporná_opatření[[#This Row],[Opatření]])</f>
        <v>SlužbyInstalace kogenerační jednotky</v>
      </c>
      <c r="F69" s="4">
        <v>800</v>
      </c>
      <c r="G69" s="11">
        <v>0.3</v>
      </c>
      <c r="H69" s="13">
        <f>Úsporná_opatření[[#This Row],[Potenciál úspor energie v TJ]]*Úsporná_opatření[[#This Row],[Investice '[Kč/GJ']]]*1000</f>
        <v>524000000</v>
      </c>
      <c r="I69" s="13">
        <f>Úsporná_opatření[[#This Row],[Podíl dotace '[%']]]*Úsporná_opatření[[#This Row],[Investice]]</f>
        <v>157200000</v>
      </c>
      <c r="J69" s="3">
        <v>8</v>
      </c>
      <c r="K69" s="12">
        <v>655</v>
      </c>
      <c r="L69" s="3">
        <v>15</v>
      </c>
      <c r="M69" s="3" t="s">
        <v>44</v>
      </c>
      <c r="N69" s="3" t="s">
        <v>6</v>
      </c>
      <c r="O69" s="4">
        <f>Úsporná_opatření[[#This Row],[Potenciál úspor energie v TJ]]*Úsporná_opatření[[#This Row],[Emisní koeficient CO2 '[kg/GJ']]]</f>
        <v>49996.884615792813</v>
      </c>
      <c r="P69" s="4">
        <f>Úsporná_opatření[[#This Row],[Potenciál úspor energie v TJ]]*Úsporná_opatření[[#This Row],[Emisní koeficient CH4 '[g/GJ']]]</f>
        <v>4900.311480764447</v>
      </c>
      <c r="Q69" s="4">
        <f>Úsporná_opatření[[#This Row],[Potenciál úspor energie v TJ]]*Úsporná_opatření[[#This Row],[Emisní koeficient N2O '[g/GJ']]]</f>
        <v>493.02362066365163</v>
      </c>
      <c r="R69" s="4">
        <f>Úsporná_opatření[[#This Row],[Potenciál úspor energie v TJ]]*Úsporná_opatření[[#This Row],[Emisní koeficient CO2 eq '[kg/GJ']]]</f>
        <v>50266.313441769693</v>
      </c>
      <c r="S69" s="7">
        <f>VLOOKUP(Úsporná_opatření[[#This Row],[Šetřený nositel energie]] &amp; "#" &amp; Úsporná_opatření[[#This Row],[Nejpodobnější sektor]],Emiskoef,2,FALSE)</f>
        <v>76.331121550828726</v>
      </c>
      <c r="T69" s="7">
        <f>VLOOKUP(Úsporná_opatření[[#This Row],[Šetřený nositel energie]] &amp; "#" &amp; Úsporná_opatření[[#This Row],[Nejpodobnější sektor]],Emiskoef,3,FALSE)</f>
        <v>7.4813915736861789</v>
      </c>
      <c r="U69" s="7">
        <f>VLOOKUP(Úsporná_opatření[[#This Row],[Šetřený nositel energie]] &amp; "#" &amp; Úsporná_opatření[[#This Row],[Nejpodobnější sektor]],Emiskoef,4,FALSE)</f>
        <v>0.75270781780710172</v>
      </c>
      <c r="V69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9" s="4">
        <f>1000*Úsporná_opatření[[#This Row],[Investice '[Kč/GJ']]]/Úsporná_opatření[[#This Row],[Emisní koeficient CO2 eq '[kg/GJ']]]</f>
        <v>10424.476436033458</v>
      </c>
      <c r="X69" s="7" t="s">
        <v>352</v>
      </c>
    </row>
    <row r="70" spans="2:24" x14ac:dyDescent="0.25">
      <c r="B70" s="3" t="s">
        <v>6</v>
      </c>
      <c r="C70" s="3" t="s">
        <v>2</v>
      </c>
      <c r="D70" s="3" t="s">
        <v>331</v>
      </c>
      <c r="E70" s="3" t="str">
        <f>CONCATENATE(Úsporná_opatření[[#This Row],[Sektor]],Úsporná_opatření[[#This Row],[Opatření]])</f>
        <v>SlužbyInstalace kogenerační jednotky</v>
      </c>
      <c r="F70" s="4">
        <v>1000</v>
      </c>
      <c r="G70" s="11">
        <v>0.45</v>
      </c>
      <c r="H70" s="13">
        <f>Úsporná_opatření[[#This Row],[Potenciál úspor energie v TJ]]*Úsporná_opatření[[#This Row],[Investice '[Kč/GJ']]]*1000</f>
        <v>342000000</v>
      </c>
      <c r="I70" s="13">
        <f>Úsporná_opatření[[#This Row],[Podíl dotace '[%']]]*Úsporná_opatření[[#This Row],[Investice]]</f>
        <v>153900000</v>
      </c>
      <c r="J70" s="3">
        <v>10</v>
      </c>
      <c r="K70" s="12">
        <v>342</v>
      </c>
      <c r="L70" s="3">
        <v>15</v>
      </c>
      <c r="M70" s="3" t="s">
        <v>44</v>
      </c>
      <c r="N70" s="3" t="s">
        <v>6</v>
      </c>
      <c r="O70" s="4">
        <f>Úsporná_opatření[[#This Row],[Potenciál úspor energie v TJ]]*Úsporná_opatření[[#This Row],[Emisní koeficient CO2 '[kg/GJ']]]</f>
        <v>26105.243570383424</v>
      </c>
      <c r="P70" s="4">
        <f>Úsporná_opatření[[#This Row],[Potenciál úspor energie v TJ]]*Úsporná_opatření[[#This Row],[Emisní koeficient CH4 '[g/GJ']]]</f>
        <v>2558.6359182006731</v>
      </c>
      <c r="Q70" s="4">
        <f>Úsporná_opatření[[#This Row],[Potenciál úspor energie v TJ]]*Úsporná_opatření[[#This Row],[Emisní koeficient N2O '[g/GJ']]]</f>
        <v>257.42607369002877</v>
      </c>
      <c r="R70" s="4">
        <f>Úsporná_opatření[[#This Row],[Potenciál úspor energie v TJ]]*Úsporná_opatření[[#This Row],[Emisní koeficient CO2 eq '[kg/GJ']]]</f>
        <v>26245.922438298068</v>
      </c>
      <c r="S70" s="7">
        <f>VLOOKUP(Úsporná_opatření[[#This Row],[Šetřený nositel energie]] &amp; "#" &amp; Úsporná_opatření[[#This Row],[Nejpodobnější sektor]],Emiskoef,2,FALSE)</f>
        <v>76.331121550828726</v>
      </c>
      <c r="T70" s="7">
        <f>VLOOKUP(Úsporná_opatření[[#This Row],[Šetřený nositel energie]] &amp; "#" &amp; Úsporná_opatření[[#This Row],[Nejpodobnější sektor]],Emiskoef,3,FALSE)</f>
        <v>7.4813915736861789</v>
      </c>
      <c r="U70" s="7">
        <f>VLOOKUP(Úsporná_opatření[[#This Row],[Šetřený nositel energie]] &amp; "#" &amp; Úsporná_opatření[[#This Row],[Nejpodobnější sektor]],Emiskoef,4,FALSE)</f>
        <v>0.75270781780710172</v>
      </c>
      <c r="V70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70" s="4">
        <f>1000*Úsporná_opatření[[#This Row],[Investice '[Kč/GJ']]]/Úsporná_opatření[[#This Row],[Emisní koeficient CO2 eq '[kg/GJ']]]</f>
        <v>13030.595545041822</v>
      </c>
      <c r="X70" s="7" t="s">
        <v>353</v>
      </c>
    </row>
    <row r="71" spans="2:24" x14ac:dyDescent="0.25">
      <c r="B71" s="3" t="s">
        <v>4</v>
      </c>
      <c r="C71" s="3" t="s">
        <v>2</v>
      </c>
      <c r="D71" s="3" t="s">
        <v>98</v>
      </c>
      <c r="E71" s="3" t="str">
        <f>CONCATENATE(Úsporná_opatření[[#This Row],[Sektor]],Úsporná_opatření[[#This Row],[Opatření]])</f>
        <v>PrůmyslInstalace kogenerační jednotky</v>
      </c>
      <c r="F71" s="4">
        <v>800</v>
      </c>
      <c r="G71" s="11">
        <f>VLOOKUP(Úsporná_opatření[[#This Row],[Opatření podrobně]],Potenciál_opatření!$A$1:$C$191,3,0)</f>
        <v>0.16666666666666663</v>
      </c>
      <c r="H71" s="13">
        <f>Úsporná_opatření[[#This Row],[Potenciál úspor energie v TJ]]*Úsporná_opatření[[#This Row],[Investice '[Kč/GJ']]]*1000</f>
        <v>701186740.6477083</v>
      </c>
      <c r="I71" s="13">
        <f>Úsporná_opatření[[#This Row],[Podíl dotace '[%']]]*Úsporná_opatření[[#This Row],[Investice]]</f>
        <v>116864456.77461803</v>
      </c>
      <c r="J71" s="3">
        <v>4</v>
      </c>
      <c r="K71" s="12">
        <f>VLOOKUP(Úsporná_opatření[[#This Row],[Opatření podrobně]],Potenciál_opatření!$A$1:$C$191,2,0)</f>
        <v>876.48342580963538</v>
      </c>
      <c r="L71" s="3">
        <v>15</v>
      </c>
      <c r="M71" s="3" t="s">
        <v>44</v>
      </c>
      <c r="N71" s="3" t="s">
        <v>4</v>
      </c>
      <c r="O71" s="4">
        <f>Úsporná_opatření[[#This Row],[Potenciál úspor energie v TJ]]*Úsporná_opatření[[#This Row],[Emisní koeficient CO2 '[kg/GJ']]]</f>
        <v>58110.319670866062</v>
      </c>
      <c r="P71" s="4">
        <f>Úsporná_opatření[[#This Row],[Potenciál úspor energie v TJ]]*Úsporná_opatření[[#This Row],[Emisní koeficient CH4 '[g/GJ']]]</f>
        <v>4222.6201108856339</v>
      </c>
      <c r="Q71" s="4">
        <f>Úsporná_opatření[[#This Row],[Potenciál úspor energie v TJ]]*Úsporná_opatření[[#This Row],[Emisní koeficient N2O '[g/GJ']]]</f>
        <v>740.67459188897089</v>
      </c>
      <c r="R71" s="4">
        <f>Úsporná_opatření[[#This Row],[Potenciál úspor energie v TJ]]*Úsporná_opatření[[#This Row],[Emisní koeficient CO2 eq '[kg/GJ']]]</f>
        <v>58436.60620202111</v>
      </c>
      <c r="S71" s="7">
        <f>VLOOKUP(Úsporná_opatření[[#This Row],[Šetřený nositel energie]] &amp; "#" &amp; Úsporná_opatření[[#This Row],[Nejpodobnější sektor]],Emiskoef,2,FALSE)</f>
        <v>66.299393644765985</v>
      </c>
      <c r="T71" s="7">
        <f>VLOOKUP(Úsporná_opatření[[#This Row],[Šetřený nositel energie]] &amp; "#" &amp; Úsporná_opatření[[#This Row],[Nejpodobnější sektor]],Emiskoef,3,FALSE)</f>
        <v>4.8176839248101775</v>
      </c>
      <c r="U71" s="7">
        <f>VLOOKUP(Úsporná_opatření[[#This Row],[Šetřený nositel energie]] &amp; "#" &amp; Úsporná_opatření[[#This Row],[Nejpodobnější sektor]],Emiskoef,4,FALSE)</f>
        <v>0.84505259321337012</v>
      </c>
      <c r="V71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1" s="4">
        <f>1000*Úsporná_opatření[[#This Row],[Investice '[Kč/GJ']]]/Úsporná_opatření[[#This Row],[Emisní koeficient CO2 eq '[kg/GJ']]]</f>
        <v>11999.101012533763</v>
      </c>
      <c r="X71" s="7" t="s">
        <v>352</v>
      </c>
    </row>
    <row r="72" spans="2:24" x14ac:dyDescent="0.25">
      <c r="B72" s="3" t="s">
        <v>4</v>
      </c>
      <c r="C72" s="3" t="s">
        <v>2</v>
      </c>
      <c r="D72" s="3" t="s">
        <v>107</v>
      </c>
      <c r="E72" s="3" t="str">
        <f>CONCATENATE(Úsporná_opatření[[#This Row],[Sektor]],Úsporná_opatření[[#This Row],[Opatření]])</f>
        <v>PrůmyslInstalace kogenerační jednotky</v>
      </c>
      <c r="F72" s="4">
        <v>1000</v>
      </c>
      <c r="G72" s="11">
        <f>VLOOKUP(Úsporná_opatření[[#This Row],[Opatření podrobně]],Potenciál_opatření!$A$1:$C$191,3,0)</f>
        <v>0.5</v>
      </c>
      <c r="H72" s="13">
        <f>Úsporná_opatření[[#This Row],[Potenciál úspor energie v TJ]]*Úsporná_opatření[[#This Row],[Investice '[Kč/GJ']]]*1000</f>
        <v>438241712.9048177</v>
      </c>
      <c r="I72" s="13">
        <f>Úsporná_opatření[[#This Row],[Podíl dotace '[%']]]*Úsporná_opatření[[#This Row],[Investice]]</f>
        <v>219120856.45240885</v>
      </c>
      <c r="J72" s="3">
        <v>6</v>
      </c>
      <c r="K72" s="12">
        <f>VLOOKUP(Úsporná_opatření[[#This Row],[Opatření podrobně]],Potenciál_opatření!$A$1:$C$191,2,0)</f>
        <v>438.24171290481769</v>
      </c>
      <c r="L72" s="3">
        <v>15</v>
      </c>
      <c r="M72" s="3" t="s">
        <v>44</v>
      </c>
      <c r="N72" s="3" t="s">
        <v>4</v>
      </c>
      <c r="O72" s="4">
        <f>Úsporná_opatření[[#This Row],[Potenciál úspor energie v TJ]]*Úsporná_opatření[[#This Row],[Emisní koeficient CO2 '[kg/GJ']]]</f>
        <v>29055.159835433031</v>
      </c>
      <c r="P72" s="4">
        <f>Úsporná_opatření[[#This Row],[Potenciál úspor energie v TJ]]*Úsporná_opatření[[#This Row],[Emisní koeficient CH4 '[g/GJ']]]</f>
        <v>2111.310055442817</v>
      </c>
      <c r="Q72" s="4">
        <f>Úsporná_opatření[[#This Row],[Potenciál úspor energie v TJ]]*Úsporná_opatření[[#This Row],[Emisní koeficient N2O '[g/GJ']]]</f>
        <v>370.33729594448545</v>
      </c>
      <c r="R72" s="4">
        <f>Úsporná_opatření[[#This Row],[Potenciál úspor energie v TJ]]*Úsporná_opatření[[#This Row],[Emisní koeficient CO2 eq '[kg/GJ']]]</f>
        <v>29218.303101010555</v>
      </c>
      <c r="S72" s="7">
        <f>VLOOKUP(Úsporná_opatření[[#This Row],[Šetřený nositel energie]] &amp; "#" &amp; Úsporná_opatření[[#This Row],[Nejpodobnější sektor]],Emiskoef,2,FALSE)</f>
        <v>66.299393644765985</v>
      </c>
      <c r="T72" s="7">
        <f>VLOOKUP(Úsporná_opatření[[#This Row],[Šetřený nositel energie]] &amp; "#" &amp; Úsporná_opatření[[#This Row],[Nejpodobnější sektor]],Emiskoef,3,FALSE)</f>
        <v>4.8176839248101775</v>
      </c>
      <c r="U72" s="7">
        <f>VLOOKUP(Úsporná_opatření[[#This Row],[Šetřený nositel energie]] &amp; "#" &amp; Úsporná_opatření[[#This Row],[Nejpodobnější sektor]],Emiskoef,4,FALSE)</f>
        <v>0.84505259321337012</v>
      </c>
      <c r="V72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2" s="4">
        <f>1000*Úsporná_opatření[[#This Row],[Investice '[Kč/GJ']]]/Úsporná_opatření[[#This Row],[Emisní koeficient CO2 eq '[kg/GJ']]]</f>
        <v>14998.876265667204</v>
      </c>
      <c r="X72" s="7" t="s">
        <v>353</v>
      </c>
    </row>
    <row r="73" spans="2:24" x14ac:dyDescent="0.25">
      <c r="B73" s="3" t="s">
        <v>7</v>
      </c>
      <c r="C73" s="3" t="s">
        <v>81</v>
      </c>
      <c r="D73" s="3" t="s">
        <v>220</v>
      </c>
      <c r="E73" s="3" t="str">
        <f>CONCATENATE(Úsporná_opatření[[#This Row],[Sektor]],Úsporná_opatření[[#This Row],[Opatření]])</f>
        <v>DomácnostiInstalace nucené ventilace s rekuperací</v>
      </c>
      <c r="F73" s="4">
        <v>14022.487548832647</v>
      </c>
      <c r="G73" s="11">
        <f>VLOOKUP(Úsporná_opatření[[#This Row],[Opatření podrobně]],Potenciál_opatření!$A$1:$C$191,3,0)</f>
        <v>0.52</v>
      </c>
      <c r="H73" s="13">
        <f>Úsporná_opatření[[#This Row],[Potenciál úspor energie v TJ]]*Úsporná_opatření[[#This Row],[Investice '[Kč/GJ']]]*1000</f>
        <v>7507163549.7493811</v>
      </c>
      <c r="I73" s="13">
        <f>Úsporná_opatření[[#This Row],[Podíl dotace '[%']]]*Úsporná_opatření[[#This Row],[Investice]]</f>
        <v>3903725045.8696785</v>
      </c>
      <c r="J73" s="3">
        <v>25</v>
      </c>
      <c r="K73" s="12">
        <f>VLOOKUP(Úsporná_opatření[[#This Row],[Opatření podrobně]],Potenciál_opatření!$A$1:$C$191,2,0)</f>
        <v>535.3660342792989</v>
      </c>
      <c r="L73" s="3">
        <v>20</v>
      </c>
      <c r="M73" s="3" t="s">
        <v>13</v>
      </c>
      <c r="N73" s="3" t="s">
        <v>7</v>
      </c>
      <c r="O73" s="4">
        <f>Úsporná_opatření[[#This Row],[Potenciál úspor energie v TJ]]*Úsporná_opatření[[#This Row],[Emisní koeficient CO2 '[kg/GJ']]]</f>
        <v>50820.335254513288</v>
      </c>
      <c r="P73" s="4">
        <f>Úsporná_opatření[[#This Row],[Potenciál úspor energie v TJ]]*Úsporná_opatření[[#This Row],[Emisní koeficient CH4 '[g/GJ']]]</f>
        <v>614.74703686245664</v>
      </c>
      <c r="Q73" s="4">
        <f>Úsporná_opatření[[#This Row],[Potenciál úspor energie v TJ]]*Úsporná_opatření[[#This Row],[Emisní koeficient N2O '[g/GJ']]]</f>
        <v>599.71003295392165</v>
      </c>
      <c r="R73" s="4">
        <f>Úsporná_opatření[[#This Row],[Potenciál úspor energie v TJ]]*Úsporná_opatření[[#This Row],[Emisní koeficient CO2 eq '[kg/GJ']]]</f>
        <v>51014.41752025512</v>
      </c>
      <c r="S73" s="7">
        <f>VLOOKUP(Úsporná_opatření[[#This Row],[Šetřený nositel energie]] &amp; "#" &amp; Úsporná_opatření[[#This Row],[Nejpodobnější sektor]],Emiskoef,2,FALSE)</f>
        <v>94.926334508551335</v>
      </c>
      <c r="T73" s="7">
        <f>VLOOKUP(Úsporná_opatření[[#This Row],[Šetřený nositel energie]] &amp; "#" &amp; Úsporná_opatření[[#This Row],[Nejpodobnější sektor]],Emiskoef,3,FALSE)</f>
        <v>1.1482742600397113</v>
      </c>
      <c r="U73" s="7">
        <f>VLOOKUP(Úsporná_opatření[[#This Row],[Šetřený nositel energie]] &amp; "#" &amp; Úsporná_opatření[[#This Row],[Nejpodobnější sektor]],Emiskoef,4,FALSE)</f>
        <v>1.1201869273631482</v>
      </c>
      <c r="V73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73" s="4">
        <f>1000*Úsporná_opatření[[#This Row],[Investice '[Kč/GJ']]]/Úsporná_opatření[[#This Row],[Emisní koeficient CO2 eq '[kg/GJ']]]</f>
        <v>147157.68433048725</v>
      </c>
      <c r="X73" s="7" t="s">
        <v>351</v>
      </c>
    </row>
    <row r="74" spans="2:24" x14ac:dyDescent="0.25">
      <c r="B74" s="3" t="s">
        <v>7</v>
      </c>
      <c r="C74" s="3" t="s">
        <v>81</v>
      </c>
      <c r="D74" s="3" t="s">
        <v>236</v>
      </c>
      <c r="E74" s="3" t="str">
        <f>CONCATENATE(Úsporná_opatření[[#This Row],[Sektor]],Úsporná_opatření[[#This Row],[Opatření]])</f>
        <v>DomácnostiInstalace nucené ventilace s rekuperací</v>
      </c>
      <c r="F74" s="4">
        <v>15773.149913906425</v>
      </c>
      <c r="G74" s="11">
        <f>VLOOKUP(Úsporná_opatření[[#This Row],[Opatření podrobně]],Potenciál_opatření!$A$1:$C$191,3,0)</f>
        <v>0.65714285714285714</v>
      </c>
      <c r="H74" s="13">
        <f>Úsporná_opatření[[#This Row],[Potenciál úspor energie v TJ]]*Úsporná_opatření[[#This Row],[Investice '[Kč/GJ']]]*1000</f>
        <v>59110861022.506615</v>
      </c>
      <c r="I74" s="13">
        <f>Úsporná_opatření[[#This Row],[Podíl dotace '[%']]]*Úsporná_opatření[[#This Row],[Investice]]</f>
        <v>38844280100.504349</v>
      </c>
      <c r="J74" s="3">
        <v>35</v>
      </c>
      <c r="K74" s="12">
        <f>VLOOKUP(Úsporná_opatření[[#This Row],[Opatření podrobně]],Potenciál_opatření!$A$1:$C$191,2,0)</f>
        <v>3747.5622399550912</v>
      </c>
      <c r="L74" s="3">
        <v>20</v>
      </c>
      <c r="M74" s="3" t="s">
        <v>13</v>
      </c>
      <c r="N74" s="3" t="s">
        <v>7</v>
      </c>
      <c r="O74" s="4">
        <f>Úsporná_opatření[[#This Row],[Potenciál úspor energie v TJ]]*Úsporná_opatření[[#This Row],[Emisní koeficient CO2 '[kg/GJ']]]</f>
        <v>355742.34678159293</v>
      </c>
      <c r="P74" s="4">
        <f>Úsporná_opatření[[#This Row],[Potenciál úspor energie v TJ]]*Úsporná_opatření[[#This Row],[Emisní koeficient CH4 '[g/GJ']]]</f>
        <v>4303.2292580371959</v>
      </c>
      <c r="Q74" s="4">
        <f>Úsporná_opatření[[#This Row],[Potenciál úspor energie v TJ]]*Úsporná_opatření[[#This Row],[Emisní koeficient N2O '[g/GJ']]]</f>
        <v>4197.9702306774507</v>
      </c>
      <c r="R74" s="4">
        <f>Úsporná_opatření[[#This Row],[Potenciál úspor energie v TJ]]*Úsporná_opatření[[#This Row],[Emisní koeficient CO2 eq '[kg/GJ']]]</f>
        <v>357100.9226417857</v>
      </c>
      <c r="S74" s="7">
        <f>VLOOKUP(Úsporná_opatření[[#This Row],[Šetřený nositel energie]] &amp; "#" &amp; Úsporná_opatření[[#This Row],[Nejpodobnější sektor]],Emiskoef,2,FALSE)</f>
        <v>94.926334508551335</v>
      </c>
      <c r="T74" s="7">
        <f>VLOOKUP(Úsporná_opatření[[#This Row],[Šetřený nositel energie]] &amp; "#" &amp; Úsporná_opatření[[#This Row],[Nejpodobnější sektor]],Emiskoef,3,FALSE)</f>
        <v>1.1482742600397113</v>
      </c>
      <c r="U74" s="7">
        <f>VLOOKUP(Úsporná_opatření[[#This Row],[Šetřený nositel energie]] &amp; "#" &amp; Úsporná_opatření[[#This Row],[Nejpodobnější sektor]],Emiskoef,4,FALSE)</f>
        <v>1.1201869273631482</v>
      </c>
      <c r="V74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74" s="4">
        <f>1000*Úsporná_opatření[[#This Row],[Investice '[Kč/GJ']]]/Úsporná_opatření[[#This Row],[Emisní koeficient CO2 eq '[kg/GJ']]]</f>
        <v>165529.84681532669</v>
      </c>
      <c r="X74" s="7" t="s">
        <v>352</v>
      </c>
    </row>
    <row r="75" spans="2:24" x14ac:dyDescent="0.25">
      <c r="B75" s="3" t="s">
        <v>7</v>
      </c>
      <c r="C75" s="3" t="s">
        <v>81</v>
      </c>
      <c r="D75" s="3" t="s">
        <v>259</v>
      </c>
      <c r="E75" s="3" t="str">
        <f>CONCATENATE(Úsporná_opatření[[#This Row],[Sektor]],Úsporná_opatření[[#This Row],[Opatření]])</f>
        <v>DomácnostiInstalace nucené ventilace s rekuperací</v>
      </c>
      <c r="F75" s="4">
        <v>21042.708892632982</v>
      </c>
      <c r="G75" s="11">
        <f>VLOOKUP(Úsporná_opatření[[#This Row],[Opatření podrobně]],Potenciál_opatření!$A$1:$C$191,3,0)</f>
        <v>0.76</v>
      </c>
      <c r="H75" s="13">
        <f>Úsporná_opatření[[#This Row],[Potenciál úspor energie v TJ]]*Úsporná_opatření[[#This Row],[Investice '[Kč/GJ']]]*1000</f>
        <v>22531103220.685314</v>
      </c>
      <c r="I75" s="13">
        <f>Úsporná_opatření[[#This Row],[Podíl dotace '[%']]]*Úsporná_opatření[[#This Row],[Investice]]</f>
        <v>17123638447.720839</v>
      </c>
      <c r="J75" s="3">
        <v>50</v>
      </c>
      <c r="K75" s="12">
        <f>VLOOKUP(Úsporná_opatření[[#This Row],[Opatření podrobně]],Potenciál_opatření!$A$1:$C$191,2,0)</f>
        <v>1070.7320685585978</v>
      </c>
      <c r="L75" s="3">
        <v>20</v>
      </c>
      <c r="M75" s="3" t="s">
        <v>13</v>
      </c>
      <c r="N75" s="3" t="s">
        <v>7</v>
      </c>
      <c r="O75" s="4">
        <f>Úsporná_opatření[[#This Row],[Potenciál úspor energie v TJ]]*Úsporná_opatření[[#This Row],[Emisní koeficient CO2 '[kg/GJ']]]</f>
        <v>101640.67050902658</v>
      </c>
      <c r="P75" s="4">
        <f>Úsporná_opatření[[#This Row],[Potenciál úspor energie v TJ]]*Úsporná_opatření[[#This Row],[Emisní koeficient CH4 '[g/GJ']]]</f>
        <v>1229.4940737249133</v>
      </c>
      <c r="Q75" s="4">
        <f>Úsporná_opatření[[#This Row],[Potenciál úspor energie v TJ]]*Úsporná_opatření[[#This Row],[Emisní koeficient N2O '[g/GJ']]]</f>
        <v>1199.4200659078433</v>
      </c>
      <c r="R75" s="4">
        <f>Úsporná_opatření[[#This Row],[Potenciál úspor energie v TJ]]*Úsporná_opatření[[#This Row],[Emisní koeficient CO2 eq '[kg/GJ']]]</f>
        <v>102028.83504051024</v>
      </c>
      <c r="S75" s="7">
        <f>VLOOKUP(Úsporná_opatření[[#This Row],[Šetřený nositel energie]] &amp; "#" &amp; Úsporná_opatření[[#This Row],[Nejpodobnější sektor]],Emiskoef,2,FALSE)</f>
        <v>94.926334508551335</v>
      </c>
      <c r="T75" s="7">
        <f>VLOOKUP(Úsporná_opatření[[#This Row],[Šetřený nositel energie]] &amp; "#" &amp; Úsporná_opatření[[#This Row],[Nejpodobnější sektor]],Emiskoef,3,FALSE)</f>
        <v>1.1482742600397113</v>
      </c>
      <c r="U75" s="7">
        <f>VLOOKUP(Úsporná_opatření[[#This Row],[Šetřený nositel energie]] &amp; "#" &amp; Úsporná_opatření[[#This Row],[Nejpodobnější sektor]],Emiskoef,4,FALSE)</f>
        <v>1.1201869273631482</v>
      </c>
      <c r="V75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75" s="4">
        <f>1000*Úsporná_opatření[[#This Row],[Investice '[Kč/GJ']]]/Úsporná_opatření[[#This Row],[Emisní koeficient CO2 eq '[kg/GJ']]]</f>
        <v>220830.74075813376</v>
      </c>
      <c r="X75" s="7" t="s">
        <v>353</v>
      </c>
    </row>
    <row r="76" spans="2:24" x14ac:dyDescent="0.25">
      <c r="B76" s="3" t="s">
        <v>4</v>
      </c>
      <c r="C76" s="3" t="s">
        <v>62</v>
      </c>
      <c r="D76" s="3" t="s">
        <v>106</v>
      </c>
      <c r="E76" s="3" t="str">
        <f>CONCATENATE(Úsporná_opatření[[#This Row],[Sektor]],Úsporná_opatření[[#This Row],[Opatření]])</f>
        <v>PrůmyslInstalace tepelného čerpadla v průmyslu</v>
      </c>
      <c r="F76" s="4">
        <v>1293.273698214914</v>
      </c>
      <c r="G76" s="11">
        <f>VLOOKUP(Úsporná_opatření[[#This Row],[Opatření podrobně]],Potenciál_opatření!$A$1:$C$191,3,0)</f>
        <v>0</v>
      </c>
      <c r="H76" s="13">
        <f>Úsporná_opatření[[#This Row],[Potenciál úspor energie v TJ]]*Úsporná_opatření[[#This Row],[Investice '[Kč/GJ']]]*1000</f>
        <v>875123248.10347295</v>
      </c>
      <c r="I76" s="13">
        <f>Úsporná_opatření[[#This Row],[Podíl dotace '[%']]]*Úsporná_opatření[[#This Row],[Investice]]</f>
        <v>0</v>
      </c>
      <c r="J76" s="3">
        <v>3</v>
      </c>
      <c r="K76" s="12">
        <f>VLOOKUP(Úsporná_opatření[[#This Row],[Opatření podrobně]],Potenciál_opatření!$A$1:$C$191,2,0)</f>
        <v>676.67288781283673</v>
      </c>
      <c r="L76" s="3">
        <v>15</v>
      </c>
      <c r="M76" s="3" t="s">
        <v>44</v>
      </c>
      <c r="N76" s="3" t="s">
        <v>4</v>
      </c>
      <c r="O76" s="4">
        <f>Úsporná_opatření[[#This Row],[Potenciál úspor energie v TJ]]*Úsporná_opatření[[#This Row],[Emisní koeficient CO2 '[kg/GJ']]]</f>
        <v>44863.002157843832</v>
      </c>
      <c r="P76" s="4">
        <f>Úsporná_opatření[[#This Row],[Potenciál úspor energie v TJ]]*Úsporná_opatření[[#This Row],[Emisní koeficient CH4 '[g/GJ']]]</f>
        <v>3259.9960939707844</v>
      </c>
      <c r="Q76" s="4">
        <f>Úsporná_opatření[[#This Row],[Potenciál úspor energie v TJ]]*Úsporná_opatření[[#This Row],[Emisní koeficient N2O '[g/GJ']]]</f>
        <v>571.82417860341752</v>
      </c>
      <c r="R76" s="4">
        <f>Úsporná_opatření[[#This Row],[Potenciál úspor energie v TJ]]*Úsporná_opatření[[#This Row],[Emisní koeficient CO2 eq '[kg/GJ']]]</f>
        <v>45114.905665416918</v>
      </c>
      <c r="S76" s="7">
        <f>VLOOKUP(Úsporná_opatření[[#This Row],[Šetřený nositel energie]] &amp; "#" &amp; Úsporná_opatření[[#This Row],[Nejpodobnější sektor]],Emiskoef,2,FALSE)</f>
        <v>66.299393644765985</v>
      </c>
      <c r="T76" s="7">
        <f>VLOOKUP(Úsporná_opatření[[#This Row],[Šetřený nositel energie]] &amp; "#" &amp; Úsporná_opatření[[#This Row],[Nejpodobnější sektor]],Emiskoef,3,FALSE)</f>
        <v>4.8176839248101775</v>
      </c>
      <c r="U76" s="7">
        <f>VLOOKUP(Úsporná_opatření[[#This Row],[Šetřený nositel energie]] &amp; "#" &amp; Úsporná_opatření[[#This Row],[Nejpodobnější sektor]],Emiskoef,4,FALSE)</f>
        <v>0.84505259321337012</v>
      </c>
      <c r="V76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6" s="4">
        <f>1000*Úsporná_opatření[[#This Row],[Investice '[Kč/GJ']]]/Úsporná_opatření[[#This Row],[Emisní koeficient CO2 eq '[kg/GJ']]]</f>
        <v>19397.652177167325</v>
      </c>
      <c r="X76" s="7" t="s">
        <v>351</v>
      </c>
    </row>
    <row r="77" spans="2:24" x14ac:dyDescent="0.25">
      <c r="B77" s="3" t="s">
        <v>4</v>
      </c>
      <c r="C77" s="3" t="s">
        <v>62</v>
      </c>
      <c r="D77" s="3" t="s">
        <v>123</v>
      </c>
      <c r="E77" s="3" t="str">
        <f>CONCATENATE(Úsporná_opatření[[#This Row],[Sektor]],Úsporná_opatření[[#This Row],[Opatření]])</f>
        <v>PrůmyslInstalace tepelného čerpadla v průmyslu</v>
      </c>
      <c r="F77" s="4">
        <v>1862.5900279572679</v>
      </c>
      <c r="G77" s="11">
        <f>VLOOKUP(Úsporná_opatření[[#This Row],[Opatření podrobně]],Potenciál_opatření!$A$1:$C$191,3,0)</f>
        <v>0.16666666666666663</v>
      </c>
      <c r="H77" s="13">
        <f>Úsporná_opatření[[#This Row],[Potenciál úspor energie v TJ]]*Úsporná_opatření[[#This Row],[Investice '[Kč/GJ']]]*1000</f>
        <v>5041456692.1169472</v>
      </c>
      <c r="I77" s="13">
        <f>Úsporná_opatření[[#This Row],[Podíl dotace '[%']]]*Úsporná_opatření[[#This Row],[Investice]]</f>
        <v>840242782.01949096</v>
      </c>
      <c r="J77" s="3">
        <v>6</v>
      </c>
      <c r="K77" s="12">
        <f>VLOOKUP(Úsporná_opatření[[#This Row],[Opatření podrobně]],Potenciál_opatření!$A$1:$C$191,2,0)</f>
        <v>2706.6915512513469</v>
      </c>
      <c r="L77" s="3">
        <v>15</v>
      </c>
      <c r="M77" s="3" t="s">
        <v>44</v>
      </c>
      <c r="N77" s="3" t="s">
        <v>4</v>
      </c>
      <c r="O77" s="4">
        <f>Úsporná_opatření[[#This Row],[Potenciál úspor energie v TJ]]*Úsporná_opatření[[#This Row],[Emisní koeficient CO2 '[kg/GJ']]]</f>
        <v>179452.00863137533</v>
      </c>
      <c r="P77" s="4">
        <f>Úsporná_opatření[[#This Row],[Potenciál úspor energie v TJ]]*Úsporná_opatření[[#This Row],[Emisní koeficient CH4 '[g/GJ']]]</f>
        <v>13039.984375883138</v>
      </c>
      <c r="Q77" s="4">
        <f>Úsporná_opatření[[#This Row],[Potenciál úspor energie v TJ]]*Úsporná_opatření[[#This Row],[Emisní koeficient N2O '[g/GJ']]]</f>
        <v>2287.2967144136701</v>
      </c>
      <c r="R77" s="4">
        <f>Úsporná_opatření[[#This Row],[Potenciál úspor energie v TJ]]*Úsporná_opatření[[#This Row],[Emisní koeficient CO2 eq '[kg/GJ']]]</f>
        <v>180459.62266166767</v>
      </c>
      <c r="S77" s="7">
        <f>VLOOKUP(Úsporná_opatření[[#This Row],[Šetřený nositel energie]] &amp; "#" &amp; Úsporná_opatření[[#This Row],[Nejpodobnější sektor]],Emiskoef,2,FALSE)</f>
        <v>66.299393644765985</v>
      </c>
      <c r="T77" s="7">
        <f>VLOOKUP(Úsporná_opatření[[#This Row],[Šetřený nositel energie]] &amp; "#" &amp; Úsporná_opatření[[#This Row],[Nejpodobnější sektor]],Emiskoef,3,FALSE)</f>
        <v>4.8176839248101775</v>
      </c>
      <c r="U77" s="7">
        <f>VLOOKUP(Úsporná_opatření[[#This Row],[Šetřený nositel energie]] &amp; "#" &amp; Úsporná_opatření[[#This Row],[Nejpodobnější sektor]],Emiskoef,4,FALSE)</f>
        <v>0.84505259321337012</v>
      </c>
      <c r="V77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7" s="4">
        <f>1000*Úsporná_opatření[[#This Row],[Investice '[Kč/GJ']]]/Úsporná_opatření[[#This Row],[Emisní koeficient CO2 eq '[kg/GJ']]]</f>
        <v>27936.757362996679</v>
      </c>
      <c r="X77" s="7" t="s">
        <v>352</v>
      </c>
    </row>
    <row r="78" spans="2:24" x14ac:dyDescent="0.25">
      <c r="B78" s="3" t="s">
        <v>4</v>
      </c>
      <c r="C78" s="3" t="s">
        <v>62</v>
      </c>
      <c r="D78" s="3" t="s">
        <v>129</v>
      </c>
      <c r="E78" s="3" t="str">
        <f>CONCATENATE(Úsporná_opatření[[#This Row],[Sektor]],Úsporná_opatření[[#This Row],[Opatření]])</f>
        <v>PrůmyslInstalace tepelného čerpadla v průmyslu</v>
      </c>
      <c r="F78" s="4">
        <v>2358.6112088278314</v>
      </c>
      <c r="G78" s="11">
        <f>VLOOKUP(Úsporná_opatření[[#This Row],[Opatření podrobně]],Potenciál_opatření!$A$1:$C$191,3,0)</f>
        <v>0.5</v>
      </c>
      <c r="H78" s="13">
        <f>Úsporná_opatření[[#This Row],[Potenciál úspor energie v TJ]]*Úsporná_opatření[[#This Row],[Investice '[Kč/GJ']]]*1000</f>
        <v>11970061934.289408</v>
      </c>
      <c r="I78" s="13">
        <f>Úsporná_opatření[[#This Row],[Podíl dotace '[%']]]*Úsporná_opatření[[#This Row],[Investice]]</f>
        <v>5985030967.1447039</v>
      </c>
      <c r="J78" s="3">
        <v>10</v>
      </c>
      <c r="K78" s="12">
        <f>VLOOKUP(Úsporná_opatření[[#This Row],[Opatření podrobně]],Potenciál_opatření!$A$1:$C$191,2,0)</f>
        <v>5075.0466585962749</v>
      </c>
      <c r="L78" s="3">
        <v>15</v>
      </c>
      <c r="M78" s="3" t="s">
        <v>44</v>
      </c>
      <c r="N78" s="3" t="s">
        <v>4</v>
      </c>
      <c r="O78" s="4">
        <f>Úsporná_opatření[[#This Row],[Potenciál úspor energie v TJ]]*Úsporná_opatření[[#This Row],[Emisní koeficient CO2 '[kg/GJ']]]</f>
        <v>336472.5161838287</v>
      </c>
      <c r="P78" s="4">
        <f>Úsporná_opatření[[#This Row],[Potenciál úspor energie v TJ]]*Úsporná_opatření[[#This Row],[Emisní koeficient CH4 '[g/GJ']]]</f>
        <v>24449.970704780877</v>
      </c>
      <c r="Q78" s="4">
        <f>Úsporná_opatření[[#This Row],[Potenciál úspor energie v TJ]]*Úsporná_opatření[[#This Row],[Emisní koeficient N2O '[g/GJ']]]</f>
        <v>4288.6813395256313</v>
      </c>
      <c r="R78" s="4">
        <f>Úsporná_opatření[[#This Row],[Potenciál úspor energie v TJ]]*Úsporná_opatření[[#This Row],[Emisní koeficient CO2 eq '[kg/GJ']]]</f>
        <v>338361.79249062686</v>
      </c>
      <c r="S78" s="7">
        <f>VLOOKUP(Úsporná_opatření[[#This Row],[Šetřený nositel energie]] &amp; "#" &amp; Úsporná_opatření[[#This Row],[Nejpodobnější sektor]],Emiskoef,2,FALSE)</f>
        <v>66.299393644765985</v>
      </c>
      <c r="T78" s="7">
        <f>VLOOKUP(Úsporná_opatření[[#This Row],[Šetřený nositel energie]] &amp; "#" &amp; Úsporná_opatření[[#This Row],[Nejpodobnější sektor]],Emiskoef,3,FALSE)</f>
        <v>4.8176839248101775</v>
      </c>
      <c r="U78" s="7">
        <f>VLOOKUP(Úsporná_opatření[[#This Row],[Šetřený nositel energie]] &amp; "#" &amp; Úsporná_opatření[[#This Row],[Nejpodobnější sektor]],Emiskoef,4,FALSE)</f>
        <v>0.84505259321337012</v>
      </c>
      <c r="V78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8" s="4">
        <f>1000*Úsporná_opatření[[#This Row],[Investice '[Kč/GJ']]]/Úsporná_opatření[[#This Row],[Emisní koeficient CO2 eq '[kg/GJ']]]</f>
        <v>35376.517680024393</v>
      </c>
      <c r="X78" s="7" t="s">
        <v>353</v>
      </c>
    </row>
    <row r="79" spans="2:24" x14ac:dyDescent="0.25">
      <c r="B79" s="3" t="s">
        <v>4</v>
      </c>
      <c r="C79" s="3" t="s">
        <v>67</v>
      </c>
      <c r="D79" s="3" t="s">
        <v>127</v>
      </c>
      <c r="E79" s="3" t="str">
        <f>CONCATENATE(Úsporná_opatření[[#This Row],[Sektor]],Úsporná_opatření[[#This Row],[Opatření]])</f>
        <v>PrůmyslInstalace/Výměna kompresorů</v>
      </c>
      <c r="F79" s="4">
        <v>2250</v>
      </c>
      <c r="G79" s="11">
        <f>VLOOKUP(Úsporná_opatření[[#This Row],[Opatření podrobně]],Potenciál_opatření!$A$1:$C$191,3,0)</f>
        <v>0</v>
      </c>
      <c r="H79" s="13">
        <f>Úsporná_opatření[[#This Row],[Potenciál úspor energie v TJ]]*Úsporná_opatření[[#This Row],[Investice '[Kč/GJ']]]*1000</f>
        <v>216844315.35046872</v>
      </c>
      <c r="I79" s="13">
        <f>Úsporná_opatření[[#This Row],[Podíl dotace '[%']]]*Úsporná_opatření[[#This Row],[Investice]]</f>
        <v>0</v>
      </c>
      <c r="J79" s="3">
        <v>3</v>
      </c>
      <c r="K79" s="12">
        <f>VLOOKUP(Úsporná_opatření[[#This Row],[Opatření podrobně]],Potenciál_opatření!$A$1:$C$191,2,0)</f>
        <v>96.375251266874997</v>
      </c>
      <c r="L79" s="3">
        <v>15</v>
      </c>
      <c r="M79" s="3" t="s">
        <v>12</v>
      </c>
      <c r="N79" s="3" t="s">
        <v>4</v>
      </c>
      <c r="O79" s="4">
        <f>Úsporná_opatření[[#This Row],[Potenciál úspor energie v TJ]]*Úsporná_opatření[[#This Row],[Emisní koeficient CO2 '[kg/GJ']]]</f>
        <v>23448.614915427788</v>
      </c>
      <c r="P79" s="4">
        <f>Úsporná_opatření[[#This Row],[Potenciál úspor energie v TJ]]*Úsporná_opatření[[#This Row],[Emisní koeficient CH4 '[g/GJ']]]</f>
        <v>250.51954418637922</v>
      </c>
      <c r="Q79" s="4">
        <f>Úsporná_opatření[[#This Row],[Potenciál úspor energie v TJ]]*Úsporná_opatření[[#This Row],[Emisní koeficient N2O '[g/GJ']]]</f>
        <v>328.83200148461026</v>
      </c>
      <c r="R79" s="4">
        <f>Úsporná_opatření[[#This Row],[Potenciál úspor energie v TJ]]*Úsporná_opatření[[#This Row],[Emisní koeficient CO2 eq '[kg/GJ']]]</f>
        <v>23552.869840474861</v>
      </c>
      <c r="S79" s="7">
        <f>VLOOKUP(Úsporná_opatření[[#This Row],[Šetřený nositel energie]] &amp; "#" &amp; Úsporná_opatření[[#This Row],[Nejpodobnější sektor]],Emiskoef,2,FALSE)</f>
        <v>243.30535699975164</v>
      </c>
      <c r="T79" s="7">
        <f>VLOOKUP(Úsporná_opatření[[#This Row],[Šetřený nositel energie]] &amp; "#" &amp; Úsporná_opatření[[#This Row],[Nejpodobnější sektor]],Emiskoef,3,FALSE)</f>
        <v>2.5994178058499644</v>
      </c>
      <c r="U79" s="7">
        <f>VLOOKUP(Úsporná_opatření[[#This Row],[Šetřený nositel energie]] &amp; "#" &amp; Úsporná_opatření[[#This Row],[Nejpodobnější sektor]],Emiskoef,4,FALSE)</f>
        <v>3.4119963077868793</v>
      </c>
      <c r="V7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79" s="4">
        <f>1000*Úsporná_opatření[[#This Row],[Investice '[Kč/GJ']]]/Úsporná_opatření[[#This Row],[Emisní koeficient CO2 eq '[kg/GJ']]]</f>
        <v>9206.7046104856672</v>
      </c>
      <c r="X79" s="7" t="s">
        <v>351</v>
      </c>
    </row>
    <row r="80" spans="2:24" x14ac:dyDescent="0.25">
      <c r="B80" s="3" t="s">
        <v>4</v>
      </c>
      <c r="C80" s="3" t="s">
        <v>67</v>
      </c>
      <c r="D80" s="3" t="s">
        <v>142</v>
      </c>
      <c r="E80" s="3" t="str">
        <f>CONCATENATE(Úsporná_opatření[[#This Row],[Sektor]],Úsporná_opatření[[#This Row],[Opatření]])</f>
        <v>PrůmyslInstalace/Výměna kompresorů</v>
      </c>
      <c r="F80" s="4">
        <v>3150</v>
      </c>
      <c r="G80" s="11">
        <f>VLOOKUP(Úsporná_opatření[[#This Row],[Opatření podrobně]],Potenciál_opatření!$A$1:$C$191,3,0)</f>
        <v>0.44444444444444442</v>
      </c>
      <c r="H80" s="13">
        <f>Úsporná_opatření[[#This Row],[Potenciál úspor energie v TJ]]*Úsporná_opatření[[#This Row],[Investice '[Kč/GJ']]]*1000</f>
        <v>8044924099.5023899</v>
      </c>
      <c r="I80" s="13">
        <f>Úsporná_opatření[[#This Row],[Podíl dotace '[%']]]*Úsporná_opatření[[#This Row],[Investice]]</f>
        <v>3575521822.0010619</v>
      </c>
      <c r="J80" s="3">
        <v>9</v>
      </c>
      <c r="K80" s="12">
        <f>VLOOKUP(Úsporná_opatření[[#This Row],[Opatření podrobně]],Potenciál_opatření!$A$1:$C$191,2,0)</f>
        <v>2553.9441585721875</v>
      </c>
      <c r="L80" s="3">
        <v>15</v>
      </c>
      <c r="M80" s="3" t="s">
        <v>12</v>
      </c>
      <c r="N80" s="3" t="s">
        <v>4</v>
      </c>
      <c r="O80" s="4">
        <f>Úsporná_opatření[[#This Row],[Potenciál úspor energie v TJ]]*Úsporná_opatření[[#This Row],[Emisní koeficient CO2 '[kg/GJ']]]</f>
        <v>621388.29525883636</v>
      </c>
      <c r="P80" s="4">
        <f>Úsporná_opatření[[#This Row],[Potenciál úspor energie v TJ]]*Úsporná_opatření[[#This Row],[Emisní koeficient CH4 '[g/GJ']]]</f>
        <v>6638.767920939049</v>
      </c>
      <c r="Q80" s="4">
        <f>Úsporná_opatření[[#This Row],[Potenciál úspor energie v TJ]]*Úsporná_opatření[[#This Row],[Emisní koeficient N2O '[g/GJ']]]</f>
        <v>8714.0480393421713</v>
      </c>
      <c r="R80" s="4">
        <f>Úsporná_opatření[[#This Row],[Potenciál úspor energie v TJ]]*Úsporná_opatření[[#This Row],[Emisní koeficient CO2 eq '[kg/GJ']]]</f>
        <v>624151.05077258381</v>
      </c>
      <c r="S80" s="7">
        <f>VLOOKUP(Úsporná_opatření[[#This Row],[Šetřený nositel energie]] &amp; "#" &amp; Úsporná_opatření[[#This Row],[Nejpodobnější sektor]],Emiskoef,2,FALSE)</f>
        <v>243.30535699975164</v>
      </c>
      <c r="T80" s="7">
        <f>VLOOKUP(Úsporná_opatření[[#This Row],[Šetřený nositel energie]] &amp; "#" &amp; Úsporná_opatření[[#This Row],[Nejpodobnější sektor]],Emiskoef,3,FALSE)</f>
        <v>2.5994178058499644</v>
      </c>
      <c r="U80" s="7">
        <f>VLOOKUP(Úsporná_opatření[[#This Row],[Šetřený nositel energie]] &amp; "#" &amp; Úsporná_opatření[[#This Row],[Nejpodobnější sektor]],Emiskoef,4,FALSE)</f>
        <v>3.4119963077868793</v>
      </c>
      <c r="V8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80" s="4">
        <f>1000*Úsporná_opatření[[#This Row],[Investice '[Kč/GJ']]]/Úsporná_opatření[[#This Row],[Emisní koeficient CO2 eq '[kg/GJ']]]</f>
        <v>12889.386454679934</v>
      </c>
      <c r="X80" s="7" t="s">
        <v>352</v>
      </c>
    </row>
    <row r="81" spans="2:24" x14ac:dyDescent="0.25">
      <c r="B81" s="3" t="s">
        <v>4</v>
      </c>
      <c r="C81" s="3" t="s">
        <v>67</v>
      </c>
      <c r="D81" s="3" t="s">
        <v>193</v>
      </c>
      <c r="E81" s="3" t="str">
        <f>CONCATENATE(Úsporná_opatření[[#This Row],[Sektor]],Úsporná_opatření[[#This Row],[Opatření]])</f>
        <v>PrůmyslInstalace/Výměna kompresorů</v>
      </c>
      <c r="F81" s="4">
        <v>8100</v>
      </c>
      <c r="G81" s="11">
        <f>VLOOKUP(Úsporná_opatření[[#This Row],[Opatření podrobně]],Potenciál_opatření!$A$1:$C$191,3,0)</f>
        <v>0.66666666666666674</v>
      </c>
      <c r="H81" s="13">
        <f>Úsporná_opatření[[#This Row],[Potenciál úspor energie v TJ]]*Úsporná_opatření[[#This Row],[Investice '[Kč/GJ']]]*1000</f>
        <v>17564389543.38797</v>
      </c>
      <c r="I81" s="13">
        <f>Úsporná_opatření[[#This Row],[Podíl dotace '[%']]]*Úsporná_opatření[[#This Row],[Investice]]</f>
        <v>11709593028.925314</v>
      </c>
      <c r="J81" s="3">
        <v>15</v>
      </c>
      <c r="K81" s="12">
        <f>VLOOKUP(Úsporná_opatření[[#This Row],[Opatření podrobně]],Potenciál_opatření!$A$1:$C$191,2,0)</f>
        <v>2168.4431535046874</v>
      </c>
      <c r="L81" s="3">
        <v>15</v>
      </c>
      <c r="M81" s="3" t="s">
        <v>12</v>
      </c>
      <c r="N81" s="3" t="s">
        <v>4</v>
      </c>
      <c r="O81" s="4">
        <f>Úsporná_opatření[[#This Row],[Potenciál úspor energie v TJ]]*Úsporná_opatření[[#This Row],[Emisní koeficient CO2 '[kg/GJ']]]</f>
        <v>527593.83559712523</v>
      </c>
      <c r="P81" s="4">
        <f>Úsporná_opatření[[#This Row],[Potenciál úspor energie v TJ]]*Úsporná_opatření[[#This Row],[Emisní koeficient CH4 '[g/GJ']]]</f>
        <v>5636.6897441935325</v>
      </c>
      <c r="Q81" s="4">
        <f>Úsporná_opatření[[#This Row],[Potenciál úspor energie v TJ]]*Úsporná_opatření[[#This Row],[Emisní koeficient N2O '[g/GJ']]]</f>
        <v>7398.7200334037307</v>
      </c>
      <c r="R81" s="4">
        <f>Úsporná_opatření[[#This Row],[Potenciál úspor energie v TJ]]*Úsporná_opatření[[#This Row],[Emisní koeficient CO2 eq '[kg/GJ']]]</f>
        <v>529939.57141068438</v>
      </c>
      <c r="S81" s="7">
        <f>VLOOKUP(Úsporná_opatření[[#This Row],[Šetřený nositel energie]] &amp; "#" &amp; Úsporná_opatření[[#This Row],[Nejpodobnější sektor]],Emiskoef,2,FALSE)</f>
        <v>243.30535699975164</v>
      </c>
      <c r="T81" s="7">
        <f>VLOOKUP(Úsporná_opatření[[#This Row],[Šetřený nositel energie]] &amp; "#" &amp; Úsporná_opatření[[#This Row],[Nejpodobnější sektor]],Emiskoef,3,FALSE)</f>
        <v>2.5994178058499644</v>
      </c>
      <c r="U81" s="7">
        <f>VLOOKUP(Úsporná_opatření[[#This Row],[Šetřený nositel energie]] &amp; "#" &amp; Úsporná_opatření[[#This Row],[Nejpodobnější sektor]],Emiskoef,4,FALSE)</f>
        <v>3.4119963077868793</v>
      </c>
      <c r="V8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81" s="4">
        <f>1000*Úsporná_opatření[[#This Row],[Investice '[Kč/GJ']]]/Úsporná_opatření[[#This Row],[Emisní koeficient CO2 eq '[kg/GJ']]]</f>
        <v>33144.136597748402</v>
      </c>
      <c r="X81" s="7" t="s">
        <v>353</v>
      </c>
    </row>
    <row r="82" spans="2:24" x14ac:dyDescent="0.25">
      <c r="B82" s="3" t="s">
        <v>6</v>
      </c>
      <c r="C82" s="3" t="s">
        <v>76</v>
      </c>
      <c r="D82" s="3" t="s">
        <v>176</v>
      </c>
      <c r="E82" s="3" t="str">
        <f>CONCATENATE(Úsporná_opatření[[#This Row],[Sektor]],Úsporná_opatření[[#This Row],[Opatření]])</f>
        <v>SlužbyNáhrada atmosférického plynového kotle kondenzačním</v>
      </c>
      <c r="F82" s="4">
        <v>7920</v>
      </c>
      <c r="G82" s="11">
        <f>VLOOKUP(Úsporná_opatření[[#This Row],[Opatření podrobně]],Potenciál_opatření!$A$1:$C$191,3,0)</f>
        <v>0.64285714285714279</v>
      </c>
      <c r="H82" s="13">
        <f>Úsporná_opatření[[#This Row],[Potenciál úspor energie v TJ]]*Úsporná_opatření[[#This Row],[Investice '[Kč/GJ']]]*1000</f>
        <v>1483258824.0685101</v>
      </c>
      <c r="I82" s="13">
        <f>Úsporná_opatření[[#This Row],[Podíl dotace '[%']]]*Úsporná_opatření[[#This Row],[Investice]]</f>
        <v>953523529.75832784</v>
      </c>
      <c r="J82" s="3">
        <v>14</v>
      </c>
      <c r="K82" s="12">
        <f>VLOOKUP(Úsporná_opatření[[#This Row],[Opatření podrobně]],Potenciál_opatření!$A$1:$C$191,2,0)</f>
        <v>187.2801545541048</v>
      </c>
      <c r="L82" s="3">
        <v>20</v>
      </c>
      <c r="M82" s="3" t="s">
        <v>54</v>
      </c>
      <c r="N82" s="3" t="s">
        <v>6</v>
      </c>
      <c r="O82" s="4">
        <f>Úsporná_opatření[[#This Row],[Potenciál úspor energie v TJ]]*Úsporná_opatření[[#This Row],[Emisní koeficient CO2 '[kg/GJ']]]</f>
        <v>10379.111780681471</v>
      </c>
      <c r="P82" s="4">
        <f>Úsporná_opatření[[#This Row],[Potenciál úspor energie v TJ]]*Úsporná_opatření[[#This Row],[Emisní koeficient CH4 '[g/GJ']]]</f>
        <v>936.40077277052399</v>
      </c>
      <c r="Q82" s="4">
        <f>Úsporná_opatření[[#This Row],[Potenciál úspor energie v TJ]]*Úsporná_opatření[[#This Row],[Emisní koeficient N2O '[g/GJ']]]</f>
        <v>18.728015455397372</v>
      </c>
      <c r="R82" s="4">
        <f>Úsporná_opatření[[#This Row],[Potenciál úspor energie v TJ]]*Úsporná_opatření[[#This Row],[Emisní koeficient CO2 eq '[kg/GJ']]]</f>
        <v>10408.102748606443</v>
      </c>
      <c r="S82" s="7">
        <f>VLOOKUP(Úsporná_opatření[[#This Row],[Šetřený nositel energie]] &amp; "#" &amp; Úsporná_opatření[[#This Row],[Nejpodobnější sektor]],Emiskoef,2,FALSE)</f>
        <v>55.42024356714726</v>
      </c>
      <c r="T82" s="7">
        <f>VLOOKUP(Úsporná_opatření[[#This Row],[Šetřený nositel energie]] &amp; "#" &amp; Úsporná_opatření[[#This Row],[Nejpodobnější sektor]],Emiskoef,3,FALSE)</f>
        <v>5</v>
      </c>
      <c r="U82" s="7">
        <f>VLOOKUP(Úsporná_opatření[[#This Row],[Šetřený nositel energie]] &amp; "#" &amp; Úsporná_opatření[[#This Row],[Nejpodobnější sektor]],Emiskoef,4,FALSE)</f>
        <v>9.9999999999930006E-2</v>
      </c>
      <c r="V82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2" s="4">
        <f>1000*Úsporná_opatření[[#This Row],[Investice '[Kč/GJ']]]/Úsporná_opatření[[#This Row],[Emisní koeficient CO2 eq '[kg/GJ']]]</f>
        <v>142510.00973900896</v>
      </c>
      <c r="X82" s="7" t="s">
        <v>351</v>
      </c>
    </row>
    <row r="83" spans="2:24" x14ac:dyDescent="0.25">
      <c r="B83" s="3" t="s">
        <v>311</v>
      </c>
      <c r="C83" s="3" t="s">
        <v>76</v>
      </c>
      <c r="D83" s="3" t="s">
        <v>177</v>
      </c>
      <c r="E83" s="3" t="str">
        <f>CONCATENATE(Úsporná_opatření[[#This Row],[Sektor]],Úsporná_opatření[[#This Row],[Opatření]])</f>
        <v>veřejná správaNáhrada atmosférického plynového kotle kondenzačním</v>
      </c>
      <c r="F83" s="4">
        <v>7920</v>
      </c>
      <c r="G83" s="11">
        <f>VLOOKUP(Úsporná_opatření[[#This Row],[Opatření podrobně]],Potenciál_opatření!$A$1:$C$191,3,0)</f>
        <v>0.1428571428571429</v>
      </c>
      <c r="H83" s="13">
        <f>Úsporná_opatření[[#This Row],[Potenciál úspor energie v TJ]]*Úsporná_opatření[[#This Row],[Investice '[Kč/GJ']]]*1000</f>
        <v>1921053372.5541883</v>
      </c>
      <c r="I83" s="13">
        <f>Úsporná_opatření[[#This Row],[Podíl dotace '[%']]]*Úsporná_opatření[[#This Row],[Investice]]</f>
        <v>274436196.07916987</v>
      </c>
      <c r="J83" s="3">
        <v>14</v>
      </c>
      <c r="K83" s="12">
        <f>VLOOKUP(Úsporná_opatření[[#This Row],[Opatření podrobně]],Potenciál_opatření!$A$1:$C$191,2,0)</f>
        <v>242.55724400936722</v>
      </c>
      <c r="L83" s="3">
        <v>20</v>
      </c>
      <c r="M83" s="3" t="s">
        <v>54</v>
      </c>
      <c r="N83" s="3" t="s">
        <v>8</v>
      </c>
      <c r="O83" s="4">
        <f>Úsporná_opatření[[#This Row],[Potenciál úspor energie v TJ]]*Úsporná_opatření[[#This Row],[Emisní koeficient CO2 '[kg/GJ']]]</f>
        <v>13442.581541975102</v>
      </c>
      <c r="P83" s="4">
        <f>Úsporná_opatření[[#This Row],[Potenciál úspor energie v TJ]]*Úsporná_opatření[[#This Row],[Emisní koeficient CH4 '[g/GJ']]]</f>
        <v>1212.7862200468362</v>
      </c>
      <c r="Q83" s="4">
        <f>Úsporná_opatření[[#This Row],[Potenciál úspor energie v TJ]]*Úsporná_opatření[[#This Row],[Emisní koeficient N2O '[g/GJ']]]</f>
        <v>24.255724400919746</v>
      </c>
      <c r="R83" s="4">
        <f>Úsporná_opatření[[#This Row],[Potenciál úspor energie v TJ]]*Úsporná_opatření[[#This Row],[Emisní koeficient CO2 eq '[kg/GJ']]]</f>
        <v>13480.129403347748</v>
      </c>
      <c r="S83" s="7">
        <f>VLOOKUP(Úsporná_opatření[[#This Row],[Šetřený nositel energie]] &amp; "#" &amp; Úsporná_opatření[[#This Row],[Nejpodobnější sektor]],Emiskoef,2,FALSE)</f>
        <v>55.42024356714726</v>
      </c>
      <c r="T83" s="7">
        <f>VLOOKUP(Úsporná_opatření[[#This Row],[Šetřený nositel energie]] &amp; "#" &amp; Úsporná_opatření[[#This Row],[Nejpodobnější sektor]],Emiskoef,3,FALSE)</f>
        <v>5</v>
      </c>
      <c r="U83" s="7">
        <f>VLOOKUP(Úsporná_opatření[[#This Row],[Šetřený nositel energie]] &amp; "#" &amp; Úsporná_opatření[[#This Row],[Nejpodobnější sektor]],Emiskoef,4,FALSE)</f>
        <v>9.9999999999930006E-2</v>
      </c>
      <c r="V83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3" s="4">
        <f>1000*Úsporná_opatření[[#This Row],[Investice '[Kč/GJ']]]/Úsporná_opatření[[#This Row],[Emisní koeficient CO2 eq '[kg/GJ']]]</f>
        <v>142510.00973900896</v>
      </c>
      <c r="X83" s="7" t="s">
        <v>351</v>
      </c>
    </row>
    <row r="84" spans="2:24" x14ac:dyDescent="0.25">
      <c r="B84" s="3" t="s">
        <v>7</v>
      </c>
      <c r="C84" s="3" t="s">
        <v>76</v>
      </c>
      <c r="D84" s="3" t="s">
        <v>186</v>
      </c>
      <c r="E84" s="3" t="str">
        <f>CONCATENATE(Úsporná_opatření[[#This Row],[Sektor]],Úsporná_opatření[[#This Row],[Opatření]])</f>
        <v>DomácnostiNáhrada atmosférického plynového kotle kondenzačním</v>
      </c>
      <c r="F84" s="4">
        <v>8880</v>
      </c>
      <c r="G84" s="11">
        <f>VLOOKUP(Úsporná_opatření[[#This Row],[Opatření podrobně]],Potenciál_opatření!$A$1:$C$191,3,0)</f>
        <v>0.1428571428571429</v>
      </c>
      <c r="H84" s="13">
        <f>Úsporná_opatření[[#This Row],[Potenciál úspor energie v TJ]]*Úsporná_opatření[[#This Row],[Investice '[Kč/GJ']]]*1000</f>
        <v>6226981682.2136288</v>
      </c>
      <c r="I84" s="13">
        <f>Úsporná_opatření[[#This Row],[Podíl dotace '[%']]]*Úsporná_opatření[[#This Row],[Investice]]</f>
        <v>889568811.74480438</v>
      </c>
      <c r="J84" s="3">
        <v>14</v>
      </c>
      <c r="K84" s="12">
        <f>VLOOKUP(Úsporná_opatření[[#This Row],[Opatření podrobně]],Potenciál_opatření!$A$1:$C$191,2,0)</f>
        <v>701.23667592495815</v>
      </c>
      <c r="L84" s="3">
        <v>20</v>
      </c>
      <c r="M84" s="3" t="s">
        <v>54</v>
      </c>
      <c r="N84" s="3" t="s">
        <v>7</v>
      </c>
      <c r="O84" s="4">
        <f>Úsporná_opatření[[#This Row],[Potenciál úspor energie v TJ]]*Úsporná_opatření[[#This Row],[Emisní koeficient CO2 '[kg/GJ']]]</f>
        <v>38862.707377977902</v>
      </c>
      <c r="P84" s="4">
        <f>Úsporná_opatření[[#This Row],[Potenciál úspor energie v TJ]]*Úsporná_opatření[[#This Row],[Emisní koeficient CH4 '[g/GJ']]]</f>
        <v>3506.1833796247906</v>
      </c>
      <c r="Q84" s="4">
        <f>Úsporná_opatření[[#This Row],[Potenciál úspor energie v TJ]]*Úsporná_opatření[[#This Row],[Emisní koeficient N2O '[g/GJ']]]</f>
        <v>70.123667592502827</v>
      </c>
      <c r="R84" s="4">
        <f>Úsporná_opatření[[#This Row],[Potenciál úspor energie v TJ]]*Úsporná_opatření[[#This Row],[Emisní koeficient CO2 eq '[kg/GJ']]]</f>
        <v>38971.258815411093</v>
      </c>
      <c r="S84" s="7">
        <f>VLOOKUP(Úsporná_opatření[[#This Row],[Šetřený nositel energie]] &amp; "#" &amp; Úsporná_opatření[[#This Row],[Nejpodobnější sektor]],Emiskoef,2,FALSE)</f>
        <v>55.420243567147281</v>
      </c>
      <c r="T84" s="7">
        <f>VLOOKUP(Úsporná_opatření[[#This Row],[Šetřený nositel energie]] &amp; "#" &amp; Úsporná_opatření[[#This Row],[Nejpodobnější sektor]],Emiskoef,3,FALSE)</f>
        <v>5</v>
      </c>
      <c r="U84" s="7">
        <f>VLOOKUP(Úsporná_opatření[[#This Row],[Šetřený nositel energie]] &amp; "#" &amp; Úsporná_opatření[[#This Row],[Nejpodobnější sektor]],Emiskoef,4,FALSE)</f>
        <v>0.10000000000001</v>
      </c>
      <c r="V84" s="7">
        <f>Úsporná_opatření[[#This Row],[Emisní koeficient CO2 '[kg/GJ']]]+0.025*Úsporná_opatření[[#This Row],[Emisní koeficient CH4 '[g/GJ']]]+0.298*Úsporná_opatření[[#This Row],[Emisní koeficient N2O '[g/GJ']]]</f>
        <v>55.575043567147283</v>
      </c>
      <c r="W84" s="4">
        <f>1000*Úsporná_opatření[[#This Row],[Investice '[Kč/GJ']]]/Úsporná_opatření[[#This Row],[Emisní koeficient CO2 eq '[kg/GJ']]]</f>
        <v>159783.95031343415</v>
      </c>
      <c r="X84" s="7" t="s">
        <v>351</v>
      </c>
    </row>
    <row r="85" spans="2:24" x14ac:dyDescent="0.25">
      <c r="B85" s="3" t="s">
        <v>6</v>
      </c>
      <c r="C85" s="3" t="s">
        <v>76</v>
      </c>
      <c r="D85" s="3" t="s">
        <v>188</v>
      </c>
      <c r="E85" s="3" t="str">
        <f>CONCATENATE(Úsporná_opatření[[#This Row],[Sektor]],Úsporná_opatření[[#This Row],[Opatření]])</f>
        <v>SlužbyNáhrada atmosférického plynového kotle kondenzačním</v>
      </c>
      <c r="F85" s="4">
        <v>9600</v>
      </c>
      <c r="G85" s="11">
        <f>VLOOKUP(Úsporná_opatření[[#This Row],[Opatření podrobně]],Potenciál_opatření!$A$1:$C$191,3,0)</f>
        <v>0.79166666666666663</v>
      </c>
      <c r="H85" s="13">
        <f>Úsporná_opatření[[#This Row],[Potenciál úspor energie v TJ]]*Úsporná_opatření[[#This Row],[Investice '[Kč/GJ']]]*1000</f>
        <v>3595778967.4388118</v>
      </c>
      <c r="I85" s="13">
        <f>Úsporná_opatření[[#This Row],[Podíl dotace '[%']]]*Úsporná_opatření[[#This Row],[Investice]]</f>
        <v>2846658349.2223926</v>
      </c>
      <c r="J85" s="3">
        <v>24</v>
      </c>
      <c r="K85" s="12">
        <f>VLOOKUP(Úsporná_opatření[[#This Row],[Opatření podrobně]],Potenciál_opatření!$A$1:$C$191,2,0)</f>
        <v>374.56030910820959</v>
      </c>
      <c r="L85" s="3">
        <v>20</v>
      </c>
      <c r="M85" s="3" t="s">
        <v>54</v>
      </c>
      <c r="N85" s="3" t="s">
        <v>6</v>
      </c>
      <c r="O85" s="4">
        <f>Úsporná_opatření[[#This Row],[Potenciál úspor energie v TJ]]*Úsporná_opatření[[#This Row],[Emisní koeficient CO2 '[kg/GJ']]]</f>
        <v>20758.223561362942</v>
      </c>
      <c r="P85" s="4">
        <f>Úsporná_opatření[[#This Row],[Potenciál úspor energie v TJ]]*Úsporná_opatření[[#This Row],[Emisní koeficient CH4 '[g/GJ']]]</f>
        <v>1872.801545541048</v>
      </c>
      <c r="Q85" s="4">
        <f>Úsporná_opatření[[#This Row],[Potenciál úspor energie v TJ]]*Úsporná_opatření[[#This Row],[Emisní koeficient N2O '[g/GJ']]]</f>
        <v>37.456030910794745</v>
      </c>
      <c r="R85" s="4">
        <f>Úsporná_opatření[[#This Row],[Potenciál úspor energie v TJ]]*Úsporná_opatření[[#This Row],[Emisní koeficient CO2 eq '[kg/GJ']]]</f>
        <v>20816.205497212886</v>
      </c>
      <c r="S85" s="7">
        <f>VLOOKUP(Úsporná_opatření[[#This Row],[Šetřený nositel energie]] &amp; "#" &amp; Úsporná_opatření[[#This Row],[Nejpodobnější sektor]],Emiskoef,2,FALSE)</f>
        <v>55.42024356714726</v>
      </c>
      <c r="T85" s="7">
        <f>VLOOKUP(Úsporná_opatření[[#This Row],[Šetřený nositel energie]] &amp; "#" &amp; Úsporná_opatření[[#This Row],[Nejpodobnější sektor]],Emiskoef,3,FALSE)</f>
        <v>5</v>
      </c>
      <c r="U85" s="7">
        <f>VLOOKUP(Úsporná_opatření[[#This Row],[Šetřený nositel energie]] &amp; "#" &amp; Úsporná_opatření[[#This Row],[Nejpodobnější sektor]],Emiskoef,4,FALSE)</f>
        <v>9.9999999999930006E-2</v>
      </c>
      <c r="V85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5" s="4">
        <f>1000*Úsporná_opatření[[#This Row],[Investice '[Kč/GJ']]]/Úsporná_opatření[[#This Row],[Emisní koeficient CO2 eq '[kg/GJ']]]</f>
        <v>172739.40574425328</v>
      </c>
      <c r="X85" s="7" t="s">
        <v>352</v>
      </c>
    </row>
    <row r="86" spans="2:24" x14ac:dyDescent="0.25">
      <c r="B86" s="3" t="s">
        <v>311</v>
      </c>
      <c r="C86" s="3" t="s">
        <v>76</v>
      </c>
      <c r="D86" s="3" t="s">
        <v>189</v>
      </c>
      <c r="E86" s="3" t="str">
        <f>CONCATENATE(Úsporná_opatření[[#This Row],[Sektor]],Úsporná_opatření[[#This Row],[Opatření]])</f>
        <v>veřejná správaNáhrada atmosférického plynového kotle kondenzačním</v>
      </c>
      <c r="F86" s="4">
        <v>9600</v>
      </c>
      <c r="G86" s="11">
        <f>VLOOKUP(Úsporná_opatření[[#This Row],[Opatření podrobně]],Potenciál_opatření!$A$1:$C$191,3,0)</f>
        <v>0.5</v>
      </c>
      <c r="H86" s="13">
        <f>Úsporná_opatření[[#This Row],[Potenciál úspor energie v TJ]]*Úsporná_opatření[[#This Row],[Investice '[Kč/GJ']]]*1000</f>
        <v>4657099084.9798508</v>
      </c>
      <c r="I86" s="13">
        <f>Úsporná_opatření[[#This Row],[Podíl dotace '[%']]]*Úsporná_opatření[[#This Row],[Investice]]</f>
        <v>2328549542.4899254</v>
      </c>
      <c r="J86" s="3">
        <v>24</v>
      </c>
      <c r="K86" s="12">
        <f>VLOOKUP(Úsporná_opatření[[#This Row],[Opatření podrobně]],Potenciál_opatření!$A$1:$C$191,2,0)</f>
        <v>485.11448801873445</v>
      </c>
      <c r="L86" s="3">
        <v>20</v>
      </c>
      <c r="M86" s="3" t="s">
        <v>54</v>
      </c>
      <c r="N86" s="3" t="s">
        <v>8</v>
      </c>
      <c r="O86" s="4">
        <f>Úsporná_opatření[[#This Row],[Potenciál úspor energie v TJ]]*Úsporná_opatření[[#This Row],[Emisní koeficient CO2 '[kg/GJ']]]</f>
        <v>26885.163083950203</v>
      </c>
      <c r="P86" s="4">
        <f>Úsporná_opatření[[#This Row],[Potenciál úspor energie v TJ]]*Úsporná_opatření[[#This Row],[Emisní koeficient CH4 '[g/GJ']]]</f>
        <v>2425.5724400936724</v>
      </c>
      <c r="Q86" s="4">
        <f>Úsporná_opatření[[#This Row],[Potenciál úspor energie v TJ]]*Úsporná_opatření[[#This Row],[Emisní koeficient N2O '[g/GJ']]]</f>
        <v>48.511448801839492</v>
      </c>
      <c r="R86" s="4">
        <f>Úsporná_opatření[[#This Row],[Potenciál úspor energie v TJ]]*Úsporná_opatření[[#This Row],[Emisní koeficient CO2 eq '[kg/GJ']]]</f>
        <v>26960.258806695496</v>
      </c>
      <c r="S86" s="7">
        <f>VLOOKUP(Úsporná_opatření[[#This Row],[Šetřený nositel energie]] &amp; "#" &amp; Úsporná_opatření[[#This Row],[Nejpodobnější sektor]],Emiskoef,2,FALSE)</f>
        <v>55.42024356714726</v>
      </c>
      <c r="T86" s="7">
        <f>VLOOKUP(Úsporná_opatření[[#This Row],[Šetřený nositel energie]] &amp; "#" &amp; Úsporná_opatření[[#This Row],[Nejpodobnější sektor]],Emiskoef,3,FALSE)</f>
        <v>5</v>
      </c>
      <c r="U86" s="7">
        <f>VLOOKUP(Úsporná_opatření[[#This Row],[Šetřený nositel energie]] &amp; "#" &amp; Úsporná_opatření[[#This Row],[Nejpodobnější sektor]],Emiskoef,4,FALSE)</f>
        <v>9.9999999999930006E-2</v>
      </c>
      <c r="V86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6" s="4">
        <f>1000*Úsporná_opatření[[#This Row],[Investice '[Kč/GJ']]]/Úsporná_opatření[[#This Row],[Emisní koeficient CO2 eq '[kg/GJ']]]</f>
        <v>172739.40574425328</v>
      </c>
      <c r="X86" s="7" t="s">
        <v>352</v>
      </c>
    </row>
    <row r="87" spans="2:24" x14ac:dyDescent="0.25">
      <c r="B87" s="3" t="s">
        <v>7</v>
      </c>
      <c r="C87" s="3" t="s">
        <v>76</v>
      </c>
      <c r="D87" s="3" t="s">
        <v>195</v>
      </c>
      <c r="E87" s="3" t="str">
        <f>CONCATENATE(Úsporná_opatření[[#This Row],[Sektor]],Úsporná_opatření[[#This Row],[Opatření]])</f>
        <v>DomácnostiNáhrada atmosférického plynového kotle kondenzačním</v>
      </c>
      <c r="F87" s="4">
        <v>10800</v>
      </c>
      <c r="G87" s="11">
        <f>VLOOKUP(Úsporná_opatření[[#This Row],[Opatření podrobně]],Potenciál_opatření!$A$1:$C$191,3,0)</f>
        <v>0.5</v>
      </c>
      <c r="H87" s="13">
        <f>Úsporná_opatření[[#This Row],[Potenciál úspor energie v TJ]]*Úsporná_opatření[[#This Row],[Investice '[Kč/GJ']]]*1000</f>
        <v>15146712199.979097</v>
      </c>
      <c r="I87" s="13">
        <f>Úsporná_opatření[[#This Row],[Podíl dotace '[%']]]*Úsporná_opatření[[#This Row],[Investice]]</f>
        <v>7573356099.9895487</v>
      </c>
      <c r="J87" s="3">
        <v>24</v>
      </c>
      <c r="K87" s="12">
        <f>VLOOKUP(Úsporná_opatření[[#This Row],[Opatření podrobně]],Potenciál_opatření!$A$1:$C$191,2,0)</f>
        <v>1402.4733518499163</v>
      </c>
      <c r="L87" s="3">
        <v>20</v>
      </c>
      <c r="M87" s="3" t="s">
        <v>54</v>
      </c>
      <c r="N87" s="3" t="s">
        <v>7</v>
      </c>
      <c r="O87" s="4">
        <f>Úsporná_opatření[[#This Row],[Potenciál úspor energie v TJ]]*Úsporná_opatření[[#This Row],[Emisní koeficient CO2 '[kg/GJ']]]</f>
        <v>77725.414755955804</v>
      </c>
      <c r="P87" s="4">
        <f>Úsporná_opatření[[#This Row],[Potenciál úspor energie v TJ]]*Úsporná_opatření[[#This Row],[Emisní koeficient CH4 '[g/GJ']]]</f>
        <v>7012.3667592495813</v>
      </c>
      <c r="Q87" s="4">
        <f>Úsporná_opatření[[#This Row],[Potenciál úspor energie v TJ]]*Úsporná_opatření[[#This Row],[Emisní koeficient N2O '[g/GJ']]]</f>
        <v>140.24733518500565</v>
      </c>
      <c r="R87" s="4">
        <f>Úsporná_opatření[[#This Row],[Potenciál úspor energie v TJ]]*Úsporná_opatření[[#This Row],[Emisní koeficient CO2 eq '[kg/GJ']]]</f>
        <v>77942.517630822185</v>
      </c>
      <c r="S87" s="7">
        <f>VLOOKUP(Úsporná_opatření[[#This Row],[Šetřený nositel energie]] &amp; "#" &amp; Úsporná_opatření[[#This Row],[Nejpodobnější sektor]],Emiskoef,2,FALSE)</f>
        <v>55.420243567147281</v>
      </c>
      <c r="T87" s="7">
        <f>VLOOKUP(Úsporná_opatření[[#This Row],[Šetřený nositel energie]] &amp; "#" &amp; Úsporná_opatření[[#This Row],[Nejpodobnější sektor]],Emiskoef,3,FALSE)</f>
        <v>5</v>
      </c>
      <c r="U87" s="7">
        <f>VLOOKUP(Úsporná_opatření[[#This Row],[Šetřený nositel energie]] &amp; "#" &amp; Úsporná_opatření[[#This Row],[Nejpodobnější sektor]],Emiskoef,4,FALSE)</f>
        <v>0.10000000000001</v>
      </c>
      <c r="V87" s="7">
        <f>Úsporná_opatření[[#This Row],[Emisní koeficient CO2 '[kg/GJ']]]+0.025*Úsporná_opatření[[#This Row],[Emisní koeficient CH4 '[g/GJ']]]+0.298*Úsporná_opatření[[#This Row],[Emisní koeficient N2O '[g/GJ']]]</f>
        <v>55.575043567147283</v>
      </c>
      <c r="W87" s="4">
        <f>1000*Úsporná_opatření[[#This Row],[Investice '[Kč/GJ']]]/Úsporná_opatření[[#This Row],[Emisní koeficient CO2 eq '[kg/GJ']]]</f>
        <v>194331.83146228478</v>
      </c>
      <c r="X87" s="7" t="s">
        <v>352</v>
      </c>
    </row>
    <row r="88" spans="2:24" x14ac:dyDescent="0.25">
      <c r="B88" s="3" t="s">
        <v>6</v>
      </c>
      <c r="C88" s="3" t="s">
        <v>76</v>
      </c>
      <c r="D88" s="3" t="s">
        <v>249</v>
      </c>
      <c r="E88" s="3" t="str">
        <f>CONCATENATE(Úsporná_opatření[[#This Row],[Sektor]],Úsporná_opatření[[#This Row],[Opatření]])</f>
        <v>SlužbyNáhrada atmosférického plynového kotle kondenzačním</v>
      </c>
      <c r="F88" s="4">
        <v>19200</v>
      </c>
      <c r="G88" s="11">
        <f>VLOOKUP(Úsporná_opatření[[#This Row],[Opatření podrobně]],Potenciál_opatření!$A$1:$C$191,3,0)</f>
        <v>0.84375</v>
      </c>
      <c r="H88" s="13">
        <f>Úsporná_opatření[[#This Row],[Potenciál úspor energie v TJ]]*Úsporná_opatření[[#This Row],[Investice '[Kč/GJ']]]*1000</f>
        <v>3595778967.4388118</v>
      </c>
      <c r="I88" s="13">
        <f>Úsporná_opatření[[#This Row],[Podíl dotace '[%']]]*Úsporná_opatření[[#This Row],[Investice]]</f>
        <v>3033938503.7764974</v>
      </c>
      <c r="J88" s="3">
        <v>32</v>
      </c>
      <c r="K88" s="12">
        <f>VLOOKUP(Úsporná_opatření[[#This Row],[Opatření podrobně]],Potenciál_opatření!$A$1:$C$191,2,0)</f>
        <v>187.2801545541048</v>
      </c>
      <c r="L88" s="3">
        <v>20</v>
      </c>
      <c r="M88" s="3" t="s">
        <v>54</v>
      </c>
      <c r="N88" s="3" t="s">
        <v>6</v>
      </c>
      <c r="O88" s="4">
        <f>Úsporná_opatření[[#This Row],[Potenciál úspor energie v TJ]]*Úsporná_opatření[[#This Row],[Emisní koeficient CO2 '[kg/GJ']]]</f>
        <v>10379.111780681471</v>
      </c>
      <c r="P88" s="4">
        <f>Úsporná_opatření[[#This Row],[Potenciál úspor energie v TJ]]*Úsporná_opatření[[#This Row],[Emisní koeficient CH4 '[g/GJ']]]</f>
        <v>936.40077277052399</v>
      </c>
      <c r="Q88" s="4">
        <f>Úsporná_opatření[[#This Row],[Potenciál úspor energie v TJ]]*Úsporná_opatření[[#This Row],[Emisní koeficient N2O '[g/GJ']]]</f>
        <v>18.728015455397372</v>
      </c>
      <c r="R88" s="4">
        <f>Úsporná_opatření[[#This Row],[Potenciál úspor energie v TJ]]*Úsporná_opatření[[#This Row],[Emisní koeficient CO2 eq '[kg/GJ']]]</f>
        <v>10408.102748606443</v>
      </c>
      <c r="S88" s="7">
        <f>VLOOKUP(Úsporná_opatření[[#This Row],[Šetřený nositel energie]] &amp; "#" &amp; Úsporná_opatření[[#This Row],[Nejpodobnější sektor]],Emiskoef,2,FALSE)</f>
        <v>55.42024356714726</v>
      </c>
      <c r="T88" s="7">
        <f>VLOOKUP(Úsporná_opatření[[#This Row],[Šetřený nositel energie]] &amp; "#" &amp; Úsporná_opatření[[#This Row],[Nejpodobnější sektor]],Emiskoef,3,FALSE)</f>
        <v>5</v>
      </c>
      <c r="U88" s="7">
        <f>VLOOKUP(Úsporná_opatření[[#This Row],[Šetřený nositel energie]] &amp; "#" &amp; Úsporná_opatření[[#This Row],[Nejpodobnější sektor]],Emiskoef,4,FALSE)</f>
        <v>9.9999999999930006E-2</v>
      </c>
      <c r="V88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8" s="4">
        <f>1000*Úsporná_opatření[[#This Row],[Investice '[Kč/GJ']]]/Úsporná_opatření[[#This Row],[Emisní koeficient CO2 eq '[kg/GJ']]]</f>
        <v>345478.81148850656</v>
      </c>
      <c r="X88" s="7" t="s">
        <v>353</v>
      </c>
    </row>
    <row r="89" spans="2:24" x14ac:dyDescent="0.25">
      <c r="B89" s="3" t="s">
        <v>311</v>
      </c>
      <c r="C89" s="3" t="s">
        <v>76</v>
      </c>
      <c r="D89" s="3" t="s">
        <v>250</v>
      </c>
      <c r="E89" s="3" t="str">
        <f>CONCATENATE(Úsporná_opatření[[#This Row],[Sektor]],Úsporná_opatření[[#This Row],[Opatření]])</f>
        <v>veřejná správaNáhrada atmosférického plynového kotle kondenzačním</v>
      </c>
      <c r="F89" s="4">
        <v>19200</v>
      </c>
      <c r="G89" s="11">
        <f>VLOOKUP(Úsporná_opatření[[#This Row],[Opatření podrobně]],Potenciál_opatření!$A$1:$C$191,3,0)</f>
        <v>0.625</v>
      </c>
      <c r="H89" s="13">
        <f>Úsporná_opatření[[#This Row],[Potenciál úspor energie v TJ]]*Úsporná_opatření[[#This Row],[Investice '[Kč/GJ']]]*1000</f>
        <v>4657099084.9798508</v>
      </c>
      <c r="I89" s="13">
        <f>Úsporná_opatření[[#This Row],[Podíl dotace '[%']]]*Úsporná_opatření[[#This Row],[Investice]]</f>
        <v>2910686928.1124067</v>
      </c>
      <c r="J89" s="3">
        <v>32</v>
      </c>
      <c r="K89" s="12">
        <f>VLOOKUP(Úsporná_opatření[[#This Row],[Opatření podrobně]],Potenciál_opatření!$A$1:$C$191,2,0)</f>
        <v>242.55724400936722</v>
      </c>
      <c r="L89" s="3">
        <v>20</v>
      </c>
      <c r="M89" s="3" t="s">
        <v>54</v>
      </c>
      <c r="N89" s="3" t="s">
        <v>8</v>
      </c>
      <c r="O89" s="4">
        <f>Úsporná_opatření[[#This Row],[Potenciál úspor energie v TJ]]*Úsporná_opatření[[#This Row],[Emisní koeficient CO2 '[kg/GJ']]]</f>
        <v>13442.581541975102</v>
      </c>
      <c r="P89" s="4">
        <f>Úsporná_opatření[[#This Row],[Potenciál úspor energie v TJ]]*Úsporná_opatření[[#This Row],[Emisní koeficient CH4 '[g/GJ']]]</f>
        <v>1212.7862200468362</v>
      </c>
      <c r="Q89" s="4">
        <f>Úsporná_opatření[[#This Row],[Potenciál úspor energie v TJ]]*Úsporná_opatření[[#This Row],[Emisní koeficient N2O '[g/GJ']]]</f>
        <v>24.255724400919746</v>
      </c>
      <c r="R89" s="4">
        <f>Úsporná_opatření[[#This Row],[Potenciál úspor energie v TJ]]*Úsporná_opatření[[#This Row],[Emisní koeficient CO2 eq '[kg/GJ']]]</f>
        <v>13480.129403347748</v>
      </c>
      <c r="S89" s="7">
        <f>VLOOKUP(Úsporná_opatření[[#This Row],[Šetřený nositel energie]] &amp; "#" &amp; Úsporná_opatření[[#This Row],[Nejpodobnější sektor]],Emiskoef,2,FALSE)</f>
        <v>55.42024356714726</v>
      </c>
      <c r="T89" s="7">
        <f>VLOOKUP(Úsporná_opatření[[#This Row],[Šetřený nositel energie]] &amp; "#" &amp; Úsporná_opatření[[#This Row],[Nejpodobnější sektor]],Emiskoef,3,FALSE)</f>
        <v>5</v>
      </c>
      <c r="U89" s="7">
        <f>VLOOKUP(Úsporná_opatření[[#This Row],[Šetřený nositel energie]] &amp; "#" &amp; Úsporná_opatření[[#This Row],[Nejpodobnější sektor]],Emiskoef,4,FALSE)</f>
        <v>9.9999999999930006E-2</v>
      </c>
      <c r="V89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9" s="4">
        <f>1000*Úsporná_opatření[[#This Row],[Investice '[Kč/GJ']]]/Úsporná_opatření[[#This Row],[Emisní koeficient CO2 eq '[kg/GJ']]]</f>
        <v>345478.81148850656</v>
      </c>
      <c r="X89" s="7" t="s">
        <v>353</v>
      </c>
    </row>
    <row r="90" spans="2:24" x14ac:dyDescent="0.25">
      <c r="B90" s="3" t="s">
        <v>7</v>
      </c>
      <c r="C90" s="3" t="s">
        <v>76</v>
      </c>
      <c r="D90" s="3" t="s">
        <v>251</v>
      </c>
      <c r="E90" s="3" t="str">
        <f>CONCATENATE(Úsporná_opatření[[#This Row],[Sektor]],Úsporná_opatření[[#This Row],[Opatření]])</f>
        <v>DomácnostiNáhrada atmosférického plynového kotle kondenzačním</v>
      </c>
      <c r="F90" s="4">
        <v>19200</v>
      </c>
      <c r="G90" s="11">
        <f>VLOOKUP(Úsporná_opatření[[#This Row],[Opatření podrobně]],Potenciál_opatření!$A$1:$C$191,3,0)</f>
        <v>0.625</v>
      </c>
      <c r="H90" s="13">
        <f>Úsporná_opatření[[#This Row],[Potenciál úspor energie v TJ]]*Úsporná_opatření[[#This Row],[Investice '[Kč/GJ']]]*1000</f>
        <v>13463744177.759197</v>
      </c>
      <c r="I90" s="13">
        <f>Úsporná_opatření[[#This Row],[Podíl dotace '[%']]]*Úsporná_opatření[[#This Row],[Investice]]</f>
        <v>8414840111.0994987</v>
      </c>
      <c r="J90" s="3">
        <v>32</v>
      </c>
      <c r="K90" s="12">
        <f>VLOOKUP(Úsporná_opatření[[#This Row],[Opatření podrobně]],Potenciál_opatření!$A$1:$C$191,2,0)</f>
        <v>701.23667592495815</v>
      </c>
      <c r="L90" s="3">
        <v>20</v>
      </c>
      <c r="M90" s="3" t="s">
        <v>54</v>
      </c>
      <c r="N90" s="3" t="s">
        <v>7</v>
      </c>
      <c r="O90" s="4">
        <f>Úsporná_opatření[[#This Row],[Potenciál úspor energie v TJ]]*Úsporná_opatření[[#This Row],[Emisní koeficient CO2 '[kg/GJ']]]</f>
        <v>38862.707377977902</v>
      </c>
      <c r="P90" s="4">
        <f>Úsporná_opatření[[#This Row],[Potenciál úspor energie v TJ]]*Úsporná_opatření[[#This Row],[Emisní koeficient CH4 '[g/GJ']]]</f>
        <v>3506.1833796247906</v>
      </c>
      <c r="Q90" s="4">
        <f>Úsporná_opatření[[#This Row],[Potenciál úspor energie v TJ]]*Úsporná_opatření[[#This Row],[Emisní koeficient N2O '[g/GJ']]]</f>
        <v>70.123667592502827</v>
      </c>
      <c r="R90" s="4">
        <f>Úsporná_opatření[[#This Row],[Potenciál úspor energie v TJ]]*Úsporná_opatření[[#This Row],[Emisní koeficient CO2 eq '[kg/GJ']]]</f>
        <v>38971.258815411093</v>
      </c>
      <c r="S90" s="7">
        <f>VLOOKUP(Úsporná_opatření[[#This Row],[Šetřený nositel energie]] &amp; "#" &amp; Úsporná_opatření[[#This Row],[Nejpodobnější sektor]],Emiskoef,2,FALSE)</f>
        <v>55.420243567147281</v>
      </c>
      <c r="T90" s="7">
        <f>VLOOKUP(Úsporná_opatření[[#This Row],[Šetřený nositel energie]] &amp; "#" &amp; Úsporná_opatření[[#This Row],[Nejpodobnější sektor]],Emiskoef,3,FALSE)</f>
        <v>5</v>
      </c>
      <c r="U90" s="7">
        <f>VLOOKUP(Úsporná_opatření[[#This Row],[Šetřený nositel energie]] &amp; "#" &amp; Úsporná_opatření[[#This Row],[Nejpodobnější sektor]],Emiskoef,4,FALSE)</f>
        <v>0.10000000000001</v>
      </c>
      <c r="V90" s="7">
        <f>Úsporná_opatření[[#This Row],[Emisní koeficient CO2 '[kg/GJ']]]+0.025*Úsporná_opatření[[#This Row],[Emisní koeficient CH4 '[g/GJ']]]+0.298*Úsporná_opatření[[#This Row],[Emisní koeficient N2O '[g/GJ']]]</f>
        <v>55.575043567147283</v>
      </c>
      <c r="W90" s="4">
        <f>1000*Úsporná_opatření[[#This Row],[Investice '[Kč/GJ']]]/Úsporná_opatření[[#This Row],[Emisní koeficient CO2 eq '[kg/GJ']]]</f>
        <v>345478.81148850627</v>
      </c>
      <c r="X90" s="7" t="s">
        <v>353</v>
      </c>
    </row>
    <row r="91" spans="2:24" x14ac:dyDescent="0.25">
      <c r="B91" s="3" t="s">
        <v>6</v>
      </c>
      <c r="C91" s="3" t="s">
        <v>85</v>
      </c>
      <c r="D91" s="3" t="s">
        <v>271</v>
      </c>
      <c r="E91" s="3" t="str">
        <f>CONCATENATE(Úsporná_opatření[[#This Row],[Sektor]],Úsporná_opatření[[#This Row],[Opatření]])</f>
        <v>SlužbyNáhrada přímotopu infraohřevem</v>
      </c>
      <c r="F91" s="4">
        <v>26000</v>
      </c>
      <c r="G91" s="11">
        <f>VLOOKUP(Úsporná_opatření[[#This Row],[Opatření podrobně]],Potenciál_opatření!$A$1:$C$191,3,0)</f>
        <v>0.83333333333333337</v>
      </c>
      <c r="H91" s="13">
        <f>Úsporná_opatření[[#This Row],[Potenciál úspor energie v TJ]]*Úsporná_opatření[[#This Row],[Investice '[Kč/GJ']]]*1000</f>
        <v>3258061753.6367931</v>
      </c>
      <c r="I91" s="13">
        <f>Úsporná_opatření[[#This Row],[Podíl dotace '[%']]]*Úsporná_opatření[[#This Row],[Investice]]</f>
        <v>2715051461.3639946</v>
      </c>
      <c r="J91" s="3">
        <v>30</v>
      </c>
      <c r="K91" s="12">
        <f>VLOOKUP(Úsporná_opatření[[#This Row],[Opatření podrobně]],Potenciál_opatření!$A$1:$C$191,2,0)</f>
        <v>125.31006744756897</v>
      </c>
      <c r="L91" s="3">
        <v>20</v>
      </c>
      <c r="M91" s="3" t="s">
        <v>12</v>
      </c>
      <c r="N91" s="3" t="s">
        <v>6</v>
      </c>
      <c r="O91" s="4">
        <f>Úsporná_opatření[[#This Row],[Potenciál úspor energie v TJ]]*Úsporná_opatření[[#This Row],[Emisní koeficient CO2 '[kg/GJ']]]</f>
        <v>30488.610695993724</v>
      </c>
      <c r="P91" s="4">
        <f>Úsporná_opatření[[#This Row],[Potenciál úspor energie v TJ]]*Úsporná_opatření[[#This Row],[Emisní koeficient CH4 '[g/GJ']]]</f>
        <v>325.7332205754708</v>
      </c>
      <c r="Q91" s="4">
        <f>Úsporná_opatření[[#This Row],[Potenciál úspor energie v TJ]]*Úsporná_opatření[[#This Row],[Emisní koeficient N2O '[g/GJ']]]</f>
        <v>427.55748745963012</v>
      </c>
      <c r="R91" s="4">
        <f>Úsporná_opatření[[#This Row],[Potenciál úspor energie v TJ]]*Úsporná_opatření[[#This Row],[Emisní koeficient CO2 eq '[kg/GJ']]]</f>
        <v>30624.166157771084</v>
      </c>
      <c r="S91" s="7">
        <f>VLOOKUP(Úsporná_opatření[[#This Row],[Šetřený nositel energie]] &amp; "#" &amp; Úsporná_opatření[[#This Row],[Nejpodobnější sektor]],Emiskoef,2,FALSE)</f>
        <v>243.30535699975164</v>
      </c>
      <c r="T91" s="7">
        <f>VLOOKUP(Úsporná_opatření[[#This Row],[Šetřený nositel energie]] &amp; "#" &amp; Úsporná_opatření[[#This Row],[Nejpodobnější sektor]],Emiskoef,3,FALSE)</f>
        <v>2.5994178058499644</v>
      </c>
      <c r="U91" s="7">
        <f>VLOOKUP(Úsporná_opatření[[#This Row],[Šetřený nositel energie]] &amp; "#" &amp; Úsporná_opatření[[#This Row],[Nejpodobnější sektor]],Emiskoef,4,FALSE)</f>
        <v>3.4119963077868793</v>
      </c>
      <c r="V9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1" s="4">
        <f>1000*Úsporná_opatření[[#This Row],[Investice '[Kč/GJ']]]/Úsporná_opatření[[#This Row],[Emisní koeficient CO2 eq '[kg/GJ']]]</f>
        <v>106388.58661005661</v>
      </c>
      <c r="X91" s="7" t="s">
        <v>351</v>
      </c>
    </row>
    <row r="92" spans="2:24" x14ac:dyDescent="0.25">
      <c r="B92" s="3" t="s">
        <v>311</v>
      </c>
      <c r="C92" s="3" t="s">
        <v>85</v>
      </c>
      <c r="D92" s="3" t="s">
        <v>272</v>
      </c>
      <c r="E92" s="3" t="str">
        <f>CONCATENATE(Úsporná_opatření[[#This Row],[Sektor]],Úsporná_opatření[[#This Row],[Opatření]])</f>
        <v>veřejná správaNáhrada přímotopu infraohřevem</v>
      </c>
      <c r="F92" s="4">
        <v>26000</v>
      </c>
      <c r="G92" s="11">
        <f>VLOOKUP(Úsporná_opatření[[#This Row],[Opatření podrobně]],Potenciál_opatření!$A$1:$C$191,3,0)</f>
        <v>0.6</v>
      </c>
      <c r="H92" s="13">
        <f>Úsporná_opatření[[#This Row],[Potenciál úspor energie v TJ]]*Úsporná_opatření[[#This Row],[Investice '[Kč/GJ']]]*1000</f>
        <v>2573443085.5198083</v>
      </c>
      <c r="I92" s="13">
        <f>Úsporná_opatření[[#This Row],[Podíl dotace '[%']]]*Úsporná_opatření[[#This Row],[Investice]]</f>
        <v>1544065851.3118849</v>
      </c>
      <c r="J92" s="3">
        <v>30</v>
      </c>
      <c r="K92" s="12">
        <f>VLOOKUP(Úsporná_opatření[[#This Row],[Opatření podrobně]],Potenciál_opatření!$A$1:$C$191,2,0)</f>
        <v>98.978580212300329</v>
      </c>
      <c r="L92" s="3">
        <v>20</v>
      </c>
      <c r="M92" s="3" t="s">
        <v>12</v>
      </c>
      <c r="N92" s="3" t="s">
        <v>8</v>
      </c>
      <c r="O92" s="4">
        <f>Úsporná_opatření[[#This Row],[Potenciál úspor energie v TJ]]*Úsporná_opatření[[#This Row],[Emisní koeficient CO2 '[kg/GJ']]]</f>
        <v>24082.018793882286</v>
      </c>
      <c r="P92" s="4">
        <f>Úsporná_opatření[[#This Row],[Potenciál úspor energie v TJ]]*Úsporná_opatření[[#This Row],[Emisní koeficient CH4 '[g/GJ']]]</f>
        <v>257.28668380160241</v>
      </c>
      <c r="Q92" s="4">
        <f>Úsporná_opatření[[#This Row],[Potenciál úspor energie v TJ]]*Úsporná_opatření[[#This Row],[Emisní koeficient N2O '[g/GJ']]]</f>
        <v>337.71455023435618</v>
      </c>
      <c r="R92" s="4">
        <f>Úsporná_opatření[[#This Row],[Potenciál úspor energie v TJ]]*Úsporná_opatření[[#This Row],[Emisní koeficient CO2 eq '[kg/GJ']]]</f>
        <v>24189.089896947164</v>
      </c>
      <c r="S92" s="7">
        <f>VLOOKUP(Úsporná_opatření[[#This Row],[Šetřený nositel energie]] &amp; "#" &amp; Úsporná_opatření[[#This Row],[Nejpodobnější sektor]],Emiskoef,2,FALSE)</f>
        <v>243.30535699975164</v>
      </c>
      <c r="T92" s="7">
        <f>VLOOKUP(Úsporná_opatření[[#This Row],[Šetřený nositel energie]] &amp; "#" &amp; Úsporná_opatření[[#This Row],[Nejpodobnější sektor]],Emiskoef,3,FALSE)</f>
        <v>2.5994178058499644</v>
      </c>
      <c r="U92" s="7">
        <f>VLOOKUP(Úsporná_opatření[[#This Row],[Šetřený nositel energie]] &amp; "#" &amp; Úsporná_opatření[[#This Row],[Nejpodobnější sektor]],Emiskoef,4,FALSE)</f>
        <v>3.4119963077868793</v>
      </c>
      <c r="V9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2" s="4">
        <f>1000*Úsporná_opatření[[#This Row],[Investice '[Kč/GJ']]]/Úsporná_opatření[[#This Row],[Emisní koeficient CO2 eq '[kg/GJ']]]</f>
        <v>106388.58661005661</v>
      </c>
      <c r="X92" s="7" t="s">
        <v>351</v>
      </c>
    </row>
    <row r="93" spans="2:24" x14ac:dyDescent="0.25">
      <c r="B93" s="3" t="s">
        <v>7</v>
      </c>
      <c r="C93" s="3" t="s">
        <v>85</v>
      </c>
      <c r="D93" s="3" t="s">
        <v>274</v>
      </c>
      <c r="E93" s="3" t="str">
        <f>CONCATENATE(Úsporná_opatření[[#This Row],[Sektor]],Úsporná_opatření[[#This Row],[Opatření]])</f>
        <v>DomácnostiNáhrada přímotopu infraohřevem</v>
      </c>
      <c r="F93" s="4">
        <v>31200</v>
      </c>
      <c r="G93" s="11">
        <f>VLOOKUP(Úsporná_opatření[[#This Row],[Opatření podrobně]],Potenciál_opatření!$A$1:$C$191,3,0)</f>
        <v>0.6</v>
      </c>
      <c r="H93" s="13">
        <f>Úsporná_opatření[[#This Row],[Potenciál úspor energie v TJ]]*Úsporná_opatření[[#This Row],[Investice '[Kč/GJ']]]*1000</f>
        <v>6450112614.8673954</v>
      </c>
      <c r="I93" s="13">
        <f>Úsporná_opatření[[#This Row],[Podíl dotace '[%']]]*Úsporná_opatření[[#This Row],[Investice]]</f>
        <v>3870067568.9204369</v>
      </c>
      <c r="J93" s="3">
        <v>30</v>
      </c>
      <c r="K93" s="12">
        <f>VLOOKUP(Úsporná_opatření[[#This Row],[Opatření podrobně]],Potenciál_opatření!$A$1:$C$191,2,0)</f>
        <v>206.73437868164729</v>
      </c>
      <c r="L93" s="3">
        <v>20</v>
      </c>
      <c r="M93" s="3" t="s">
        <v>12</v>
      </c>
      <c r="N93" s="3" t="s">
        <v>7</v>
      </c>
      <c r="O93" s="4">
        <f>Úsporná_opatření[[#This Row],[Potenciál úspor energie v TJ]]*Úsporná_opatření[[#This Row],[Emisní koeficient CO2 '[kg/GJ']]]</f>
        <v>50299.581809260038</v>
      </c>
      <c r="P93" s="4">
        <f>Úsporná_opatření[[#This Row],[Potenciál úspor energie v TJ]]*Úsporná_opatření[[#This Row],[Emisní koeficient CH4 '[g/GJ']]]</f>
        <v>537.38902502640326</v>
      </c>
      <c r="Q93" s="4">
        <f>Úsporná_opatření[[#This Row],[Potenciál úspor energie v TJ]]*Úsporná_opatření[[#This Row],[Emisní koeficient N2O '[g/GJ']]]</f>
        <v>705.37693675439505</v>
      </c>
      <c r="R93" s="4">
        <f>Úsporná_opatření[[#This Row],[Potenciál úspor energie v TJ]]*Úsporná_opatření[[#This Row],[Emisní koeficient CO2 eq '[kg/GJ']]]</f>
        <v>50523.218862038506</v>
      </c>
      <c r="S93" s="7">
        <f>VLOOKUP(Úsporná_opatření[[#This Row],[Šetřený nositel energie]] &amp; "#" &amp; Úsporná_opatření[[#This Row],[Nejpodobnější sektor]],Emiskoef,2,FALSE)</f>
        <v>243.30535699975164</v>
      </c>
      <c r="T93" s="7">
        <f>VLOOKUP(Úsporná_opatření[[#This Row],[Šetřený nositel energie]] &amp; "#" &amp; Úsporná_opatření[[#This Row],[Nejpodobnější sektor]],Emiskoef,3,FALSE)</f>
        <v>2.5994178058499644</v>
      </c>
      <c r="U93" s="7">
        <f>VLOOKUP(Úsporná_opatření[[#This Row],[Šetřený nositel energie]] &amp; "#" &amp; Úsporná_opatření[[#This Row],[Nejpodobnější sektor]],Emiskoef,4,FALSE)</f>
        <v>3.4119963077868793</v>
      </c>
      <c r="V9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3" s="4">
        <f>1000*Úsporná_opatření[[#This Row],[Investice '[Kč/GJ']]]/Úsporná_opatření[[#This Row],[Emisní koeficient CO2 eq '[kg/GJ']]]</f>
        <v>127666.30393206792</v>
      </c>
      <c r="X93" s="7" t="s">
        <v>351</v>
      </c>
    </row>
    <row r="94" spans="2:24" x14ac:dyDescent="0.25">
      <c r="B94" s="3" t="s">
        <v>6</v>
      </c>
      <c r="C94" s="3" t="s">
        <v>70</v>
      </c>
      <c r="D94" s="3" t="s">
        <v>137</v>
      </c>
      <c r="E94" s="3" t="str">
        <f>CONCATENATE(Úsporná_opatření[[#This Row],[Sektor]],Úsporná_opatření[[#This Row],[Opatření]])</f>
        <v>SlužbyNáhrada přímotopu tepelným čerpadlem</v>
      </c>
      <c r="F94" s="4">
        <v>3900</v>
      </c>
      <c r="G94" s="11">
        <f>VLOOKUP(Úsporná_opatření[[#This Row],[Opatření podrobně]],Potenciál_opatření!$A$1:$C$191,3,0)</f>
        <v>0</v>
      </c>
      <c r="H94" s="13">
        <f>Úsporná_opatření[[#This Row],[Potenciál úspor energie v TJ]]*Úsporná_opatření[[#This Row],[Investice '[Kč/GJ']]]*1000</f>
        <v>1059069569.0780648</v>
      </c>
      <c r="I94" s="13">
        <f>Úsporná_opatření[[#This Row],[Podíl dotace '[%']]]*Úsporná_opatření[[#This Row],[Investice]]</f>
        <v>0</v>
      </c>
      <c r="J94" s="3">
        <v>4</v>
      </c>
      <c r="K94" s="12">
        <f>VLOOKUP(Úsporná_opatření[[#This Row],[Opatření podrobně]],Potenciál_opatření!$A$1:$C$191,2,0)</f>
        <v>271.55629976360638</v>
      </c>
      <c r="L94" s="3">
        <v>20</v>
      </c>
      <c r="M94" s="3" t="s">
        <v>12</v>
      </c>
      <c r="N94" s="3" t="s">
        <v>6</v>
      </c>
      <c r="O94" s="4">
        <f>Úsporná_opatření[[#This Row],[Potenciál úspor energie v TJ]]*Úsporná_opatření[[#This Row],[Emisní koeficient CO2 '[kg/GJ']]]</f>
        <v>66071.102459515823</v>
      </c>
      <c r="P94" s="4">
        <f>Úsporná_opatření[[#This Row],[Potenciál úspor energie v TJ]]*Úsporná_opatření[[#This Row],[Emisní koeficient CH4 '[g/GJ']]]</f>
        <v>705.88828089624894</v>
      </c>
      <c r="Q94" s="4">
        <f>Úsporná_opatření[[#This Row],[Potenciál úspor energie v TJ]]*Úsporná_opatření[[#This Row],[Emisní koeficient N2O '[g/GJ']]]</f>
        <v>926.549092149692</v>
      </c>
      <c r="R94" s="4">
        <f>Úsporná_opatření[[#This Row],[Potenciál úspor energie v TJ]]*Úsporná_opatření[[#This Row],[Emisní koeficient CO2 eq '[kg/GJ']]]</f>
        <v>66364.861295998839</v>
      </c>
      <c r="S94" s="7">
        <f>VLOOKUP(Úsporná_opatření[[#This Row],[Šetřený nositel energie]] &amp; "#" &amp; Úsporná_opatření[[#This Row],[Nejpodobnější sektor]],Emiskoef,2,FALSE)</f>
        <v>243.30535699975164</v>
      </c>
      <c r="T94" s="7">
        <f>VLOOKUP(Úsporná_opatření[[#This Row],[Šetřený nositel energie]] &amp; "#" &amp; Úsporná_opatření[[#This Row],[Nejpodobnější sektor]],Emiskoef,3,FALSE)</f>
        <v>2.5994178058499644</v>
      </c>
      <c r="U94" s="7">
        <f>VLOOKUP(Úsporná_opatření[[#This Row],[Šetřený nositel energie]] &amp; "#" &amp; Úsporná_opatření[[#This Row],[Nejpodobnější sektor]],Emiskoef,4,FALSE)</f>
        <v>3.4119963077868793</v>
      </c>
      <c r="V9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4" s="4">
        <f>1000*Úsporná_opatření[[#This Row],[Investice '[Kč/GJ']]]/Úsporná_opatření[[#This Row],[Emisní koeficient CO2 eq '[kg/GJ']]]</f>
        <v>15958.28799150849</v>
      </c>
      <c r="X94" s="7" t="s">
        <v>351</v>
      </c>
    </row>
    <row r="95" spans="2:24" x14ac:dyDescent="0.25">
      <c r="B95" s="3" t="s">
        <v>311</v>
      </c>
      <c r="C95" s="3" t="s">
        <v>70</v>
      </c>
      <c r="D95" s="3" t="s">
        <v>138</v>
      </c>
      <c r="E95" s="3" t="str">
        <f>CONCATENATE(Úsporná_opatření[[#This Row],[Sektor]],Úsporná_opatření[[#This Row],[Opatření]])</f>
        <v>veřejná správaNáhrada přímotopu tepelným čerpadlem</v>
      </c>
      <c r="F95" s="4">
        <v>3900</v>
      </c>
      <c r="G95" s="11">
        <f>VLOOKUP(Úsporná_opatření[[#This Row],[Opatření podrobně]],Potenciál_opatření!$A$1:$C$191,3,0)</f>
        <v>0</v>
      </c>
      <c r="H95" s="13">
        <f>Úsporná_opatření[[#This Row],[Potenciál úspor energie v TJ]]*Úsporná_opatření[[#This Row],[Investice '[Kč/GJ']]]*1000</f>
        <v>836526581.05271173</v>
      </c>
      <c r="I95" s="13">
        <f>Úsporná_opatření[[#This Row],[Podíl dotace '[%']]]*Úsporná_opatření[[#This Row],[Investice]]</f>
        <v>0</v>
      </c>
      <c r="J95" s="3">
        <v>4</v>
      </c>
      <c r="K95" s="12">
        <f>VLOOKUP(Úsporná_opatření[[#This Row],[Opatření podrobně]],Potenciál_opatření!$A$1:$C$191,2,0)</f>
        <v>214.49399514172094</v>
      </c>
      <c r="L95" s="3">
        <v>20</v>
      </c>
      <c r="M95" s="3" t="s">
        <v>12</v>
      </c>
      <c r="N95" s="3" t="s">
        <v>8</v>
      </c>
      <c r="O95" s="4">
        <f>Úsporná_opatření[[#This Row],[Potenciál úspor energie v TJ]]*Úsporná_opatření[[#This Row],[Emisní koeficient CO2 '[kg/GJ']]]</f>
        <v>52187.538062259409</v>
      </c>
      <c r="P95" s="4">
        <f>Úsporná_opatření[[#This Row],[Potenciál úspor energie v TJ]]*Úsporná_opatření[[#This Row],[Emisní koeficient CH4 '[g/GJ']]]</f>
        <v>557.55951021928513</v>
      </c>
      <c r="Q95" s="4">
        <f>Úsporná_opatření[[#This Row],[Potenciál úspor energie v TJ]]*Úsporná_opatření[[#This Row],[Emisní koeficient N2O '[g/GJ']]]</f>
        <v>731.85271946600869</v>
      </c>
      <c r="R95" s="4">
        <f>Úsporná_opatření[[#This Row],[Potenciál úspor energie v TJ]]*Úsporná_opatření[[#This Row],[Emisní koeficient CO2 eq '[kg/GJ']]]</f>
        <v>52419.569160415762</v>
      </c>
      <c r="S95" s="7">
        <f>VLOOKUP(Úsporná_opatření[[#This Row],[Šetřený nositel energie]] &amp; "#" &amp; Úsporná_opatření[[#This Row],[Nejpodobnější sektor]],Emiskoef,2,FALSE)</f>
        <v>243.30535699975164</v>
      </c>
      <c r="T95" s="7">
        <f>VLOOKUP(Úsporná_opatření[[#This Row],[Šetřený nositel energie]] &amp; "#" &amp; Úsporná_opatření[[#This Row],[Nejpodobnější sektor]],Emiskoef,3,FALSE)</f>
        <v>2.5994178058499644</v>
      </c>
      <c r="U95" s="7">
        <f>VLOOKUP(Úsporná_opatření[[#This Row],[Šetřený nositel energie]] &amp; "#" &amp; Úsporná_opatření[[#This Row],[Nejpodobnější sektor]],Emiskoef,4,FALSE)</f>
        <v>3.4119963077868793</v>
      </c>
      <c r="V9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5" s="4">
        <f>1000*Úsporná_opatření[[#This Row],[Investice '[Kč/GJ']]]/Úsporná_opatření[[#This Row],[Emisní koeficient CO2 eq '[kg/GJ']]]</f>
        <v>15958.28799150849</v>
      </c>
      <c r="X95" s="7" t="s">
        <v>351</v>
      </c>
    </row>
    <row r="96" spans="2:24" x14ac:dyDescent="0.25">
      <c r="B96" s="3" t="s">
        <v>7</v>
      </c>
      <c r="C96" s="3" t="s">
        <v>70</v>
      </c>
      <c r="D96" s="3" t="s">
        <v>150</v>
      </c>
      <c r="E96" s="3" t="str">
        <f>CONCATENATE(Úsporná_opatření[[#This Row],[Sektor]],Úsporná_opatření[[#This Row],[Opatření]])</f>
        <v>DomácnostiNáhrada přímotopu tepelným čerpadlem</v>
      </c>
      <c r="F96" s="4">
        <v>4680</v>
      </c>
      <c r="G96" s="11">
        <f>VLOOKUP(Úsporná_opatření[[#This Row],[Opatření podrobně]],Potenciál_opatření!$A$1:$C$191,3,0)</f>
        <v>0</v>
      </c>
      <c r="H96" s="13">
        <f>Úsporná_opatření[[#This Row],[Potenciál úspor energie v TJ]]*Úsporná_opatření[[#This Row],[Investice '[Kč/GJ']]]*1000</f>
        <v>2096681556.114584</v>
      </c>
      <c r="I96" s="13">
        <f>Úsporná_opatření[[#This Row],[Podíl dotace '[%']]]*Úsporná_opatření[[#This Row],[Investice]]</f>
        <v>0</v>
      </c>
      <c r="J96" s="3">
        <v>4</v>
      </c>
      <c r="K96" s="12">
        <f>VLOOKUP(Úsporná_opatření[[#This Row],[Opatření podrobně]],Potenciál_opatření!$A$1:$C$191,2,0)</f>
        <v>448.00887951166322</v>
      </c>
      <c r="L96" s="3">
        <v>20</v>
      </c>
      <c r="M96" s="3" t="s">
        <v>12</v>
      </c>
      <c r="N96" s="3" t="s">
        <v>7</v>
      </c>
      <c r="O96" s="4">
        <f>Úsporná_opatření[[#This Row],[Potenciál úspor energie v TJ]]*Úsporná_opatření[[#This Row],[Emisní koeficient CO2 '[kg/GJ']]]</f>
        <v>109002.96036864394</v>
      </c>
      <c r="P96" s="4">
        <f>Úsporná_opatření[[#This Row],[Potenciál úspor energie v TJ]]*Úsporná_opatření[[#This Row],[Emisní koeficient CH4 '[g/GJ']]]</f>
        <v>1164.5622585815088</v>
      </c>
      <c r="Q96" s="4">
        <f>Úsporná_opatření[[#This Row],[Potenciál úspor energie v TJ]]*Úsporná_opatření[[#This Row],[Emisní koeficient N2O '[g/GJ']]]</f>
        <v>1528.6046427495319</v>
      </c>
      <c r="R96" s="4">
        <f>Úsporná_opatření[[#This Row],[Potenciál úspor energie v TJ]]*Úsporná_opatření[[#This Row],[Emisní koeficient CO2 eq '[kg/GJ']]]</f>
        <v>109487.59860864784</v>
      </c>
      <c r="S96" s="7">
        <f>VLOOKUP(Úsporná_opatření[[#This Row],[Šetřený nositel energie]] &amp; "#" &amp; Úsporná_opatření[[#This Row],[Nejpodobnější sektor]],Emiskoef,2,FALSE)</f>
        <v>243.30535699975164</v>
      </c>
      <c r="T96" s="7">
        <f>VLOOKUP(Úsporná_opatření[[#This Row],[Šetřený nositel energie]] &amp; "#" &amp; Úsporná_opatření[[#This Row],[Nejpodobnější sektor]],Emiskoef,3,FALSE)</f>
        <v>2.5994178058499644</v>
      </c>
      <c r="U96" s="7">
        <f>VLOOKUP(Úsporná_opatření[[#This Row],[Šetřený nositel energie]] &amp; "#" &amp; Úsporná_opatření[[#This Row],[Nejpodobnější sektor]],Emiskoef,4,FALSE)</f>
        <v>3.4119963077868793</v>
      </c>
      <c r="V9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6" s="4">
        <f>1000*Úsporná_opatření[[#This Row],[Investice '[Kč/GJ']]]/Úsporná_opatření[[#This Row],[Emisní koeficient CO2 eq '[kg/GJ']]]</f>
        <v>19149.945589810188</v>
      </c>
      <c r="X96" s="7" t="s">
        <v>351</v>
      </c>
    </row>
    <row r="97" spans="2:24" x14ac:dyDescent="0.25">
      <c r="B97" s="3" t="s">
        <v>6</v>
      </c>
      <c r="C97" s="3" t="s">
        <v>70</v>
      </c>
      <c r="D97" s="3" t="s">
        <v>154</v>
      </c>
      <c r="E97" s="3" t="str">
        <f>CONCATENATE(Úsporná_opatření[[#This Row],[Sektor]],Úsporná_opatření[[#This Row],[Opatření]])</f>
        <v>SlužbyNáhrada přímotopu tepelným čerpadlem</v>
      </c>
      <c r="F97" s="4">
        <v>5400</v>
      </c>
      <c r="G97" s="11">
        <f>VLOOKUP(Úsporná_opatření[[#This Row],[Opatření podrobně]],Potenciál_opatření!$A$1:$C$191,3,0)</f>
        <v>0.16666666666666663</v>
      </c>
      <c r="H97" s="13">
        <f>Úsporná_opatření[[#This Row],[Potenciál úspor energie v TJ]]*Úsporná_opatření[[#This Row],[Investice '[Kč/GJ']]]*1000</f>
        <v>2932808037.4469485</v>
      </c>
      <c r="I97" s="13">
        <f>Úsporná_opatření[[#This Row],[Podíl dotace '[%']]]*Úsporná_opatření[[#This Row],[Investice]]</f>
        <v>488801339.57449132</v>
      </c>
      <c r="J97" s="3">
        <v>6</v>
      </c>
      <c r="K97" s="12">
        <f>VLOOKUP(Úsporná_opatření[[#This Row],[Opatření podrobně]],Potenciál_opatření!$A$1:$C$191,2,0)</f>
        <v>543.11259952721275</v>
      </c>
      <c r="L97" s="3">
        <v>20</v>
      </c>
      <c r="M97" s="3" t="s">
        <v>12</v>
      </c>
      <c r="N97" s="3" t="s">
        <v>6</v>
      </c>
      <c r="O97" s="4">
        <f>Úsporná_opatření[[#This Row],[Potenciál úspor energie v TJ]]*Úsporná_opatření[[#This Row],[Emisní koeficient CO2 '[kg/GJ']]]</f>
        <v>132142.20491903165</v>
      </c>
      <c r="P97" s="4">
        <f>Úsporná_opatření[[#This Row],[Potenciál úspor energie v TJ]]*Úsporná_opatření[[#This Row],[Emisní koeficient CH4 '[g/GJ']]]</f>
        <v>1411.7765617924979</v>
      </c>
      <c r="Q97" s="4">
        <f>Úsporná_opatření[[#This Row],[Potenciál úspor energie v TJ]]*Úsporná_opatření[[#This Row],[Emisní koeficient N2O '[g/GJ']]]</f>
        <v>1853.098184299384</v>
      </c>
      <c r="R97" s="4">
        <f>Úsporná_opatření[[#This Row],[Potenciál úspor energie v TJ]]*Úsporná_opatření[[#This Row],[Emisní koeficient CO2 eq '[kg/GJ']]]</f>
        <v>132729.72259199768</v>
      </c>
      <c r="S97" s="7">
        <f>VLOOKUP(Úsporná_opatření[[#This Row],[Šetřený nositel energie]] &amp; "#" &amp; Úsporná_opatření[[#This Row],[Nejpodobnější sektor]],Emiskoef,2,FALSE)</f>
        <v>243.30535699975164</v>
      </c>
      <c r="T97" s="7">
        <f>VLOOKUP(Úsporná_opatření[[#This Row],[Šetřený nositel energie]] &amp; "#" &amp; Úsporná_opatření[[#This Row],[Nejpodobnější sektor]],Emiskoef,3,FALSE)</f>
        <v>2.5994178058499644</v>
      </c>
      <c r="U97" s="7">
        <f>VLOOKUP(Úsporná_opatření[[#This Row],[Šetřený nositel energie]] &amp; "#" &amp; Úsporná_opatření[[#This Row],[Nejpodobnější sektor]],Emiskoef,4,FALSE)</f>
        <v>3.4119963077868793</v>
      </c>
      <c r="V9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7" s="4">
        <f>1000*Úsporná_opatření[[#This Row],[Investice '[Kč/GJ']]]/Úsporná_opatření[[#This Row],[Emisní koeficient CO2 eq '[kg/GJ']]]</f>
        <v>22096.091065165601</v>
      </c>
      <c r="X97" s="7" t="s">
        <v>352</v>
      </c>
    </row>
    <row r="98" spans="2:24" x14ac:dyDescent="0.25">
      <c r="B98" s="3" t="s">
        <v>311</v>
      </c>
      <c r="C98" s="3" t="s">
        <v>70</v>
      </c>
      <c r="D98" s="3" t="s">
        <v>155</v>
      </c>
      <c r="E98" s="3" t="str">
        <f>CONCATENATE(Úsporná_opatření[[#This Row],[Sektor]],Úsporná_opatření[[#This Row],[Opatření]])</f>
        <v>veřejná správaNáhrada přímotopu tepelným čerpadlem</v>
      </c>
      <c r="F98" s="4">
        <v>5400</v>
      </c>
      <c r="G98" s="11">
        <f>VLOOKUP(Úsporná_opatření[[#This Row],[Opatření podrobně]],Potenciál_opatření!$A$1:$C$191,3,0)</f>
        <v>0</v>
      </c>
      <c r="H98" s="13">
        <f>Úsporná_opatření[[#This Row],[Potenciál úspor energie v TJ]]*Úsporná_opatření[[#This Row],[Investice '[Kč/GJ']]]*1000</f>
        <v>2316535147.5305858</v>
      </c>
      <c r="I98" s="13">
        <f>Úsporná_opatření[[#This Row],[Podíl dotace '[%']]]*Úsporná_opatření[[#This Row],[Investice]]</f>
        <v>0</v>
      </c>
      <c r="J98" s="3">
        <v>6</v>
      </c>
      <c r="K98" s="12">
        <f>VLOOKUP(Úsporná_opatření[[#This Row],[Opatření podrobně]],Potenciál_opatření!$A$1:$C$191,2,0)</f>
        <v>428.98799028344189</v>
      </c>
      <c r="L98" s="3">
        <v>20</v>
      </c>
      <c r="M98" s="3" t="s">
        <v>12</v>
      </c>
      <c r="N98" s="3" t="s">
        <v>8</v>
      </c>
      <c r="O98" s="4">
        <f>Úsporná_opatření[[#This Row],[Potenciál úspor energie v TJ]]*Úsporná_opatření[[#This Row],[Emisní koeficient CO2 '[kg/GJ']]]</f>
        <v>104375.07612451882</v>
      </c>
      <c r="P98" s="4">
        <f>Úsporná_opatření[[#This Row],[Potenciál úspor energie v TJ]]*Úsporná_opatření[[#This Row],[Emisní koeficient CH4 '[g/GJ']]]</f>
        <v>1115.1190204385703</v>
      </c>
      <c r="Q98" s="4">
        <f>Úsporná_opatření[[#This Row],[Potenciál úspor energie v TJ]]*Úsporná_opatření[[#This Row],[Emisní koeficient N2O '[g/GJ']]]</f>
        <v>1463.7054389320174</v>
      </c>
      <c r="R98" s="4">
        <f>Úsporná_opatření[[#This Row],[Potenciál úspor energie v TJ]]*Úsporná_opatření[[#This Row],[Emisní koeficient CO2 eq '[kg/GJ']]]</f>
        <v>104839.13832083152</v>
      </c>
      <c r="S98" s="7">
        <f>VLOOKUP(Úsporná_opatření[[#This Row],[Šetřený nositel energie]] &amp; "#" &amp; Úsporná_opatření[[#This Row],[Nejpodobnější sektor]],Emiskoef,2,FALSE)</f>
        <v>243.30535699975164</v>
      </c>
      <c r="T98" s="7">
        <f>VLOOKUP(Úsporná_opatření[[#This Row],[Šetřený nositel energie]] &amp; "#" &amp; Úsporná_opatření[[#This Row],[Nejpodobnější sektor]],Emiskoef,3,FALSE)</f>
        <v>2.5994178058499644</v>
      </c>
      <c r="U98" s="7">
        <f>VLOOKUP(Úsporná_opatření[[#This Row],[Šetřený nositel energie]] &amp; "#" &amp; Úsporná_opatření[[#This Row],[Nejpodobnější sektor]],Emiskoef,4,FALSE)</f>
        <v>3.4119963077868793</v>
      </c>
      <c r="V9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8" s="4">
        <f>1000*Úsporná_opatření[[#This Row],[Investice '[Kč/GJ']]]/Úsporná_opatření[[#This Row],[Emisní koeficient CO2 eq '[kg/GJ']]]</f>
        <v>22096.091065165601</v>
      </c>
      <c r="X98" s="7" t="s">
        <v>352</v>
      </c>
    </row>
    <row r="99" spans="2:24" x14ac:dyDescent="0.25">
      <c r="B99" s="3" t="s">
        <v>7</v>
      </c>
      <c r="C99" s="3" t="s">
        <v>70</v>
      </c>
      <c r="D99" s="3" t="s">
        <v>167</v>
      </c>
      <c r="E99" s="3" t="str">
        <f>CONCATENATE(Úsporná_opatření[[#This Row],[Sektor]],Úsporná_opatření[[#This Row],[Opatření]])</f>
        <v>DomácnostiNáhrada přímotopu tepelným čerpadlem</v>
      </c>
      <c r="F99" s="4">
        <v>6600</v>
      </c>
      <c r="G99" s="11">
        <f>VLOOKUP(Úsporná_opatření[[#This Row],[Opatření podrobně]],Potenciál_opatření!$A$1:$C$191,3,0)</f>
        <v>0</v>
      </c>
      <c r="H99" s="13">
        <f>Úsporná_opatření[[#This Row],[Potenciál úspor energie v TJ]]*Úsporná_opatření[[#This Row],[Investice '[Kč/GJ']]]*1000</f>
        <v>5913717209.5539541</v>
      </c>
      <c r="I99" s="13">
        <f>Úsporná_opatření[[#This Row],[Podíl dotace '[%']]]*Úsporná_opatření[[#This Row],[Investice]]</f>
        <v>0</v>
      </c>
      <c r="J99" s="3">
        <v>6</v>
      </c>
      <c r="K99" s="12">
        <f>VLOOKUP(Úsporná_opatření[[#This Row],[Opatření podrobně]],Potenciál_opatření!$A$1:$C$191,2,0)</f>
        <v>896.01775902332645</v>
      </c>
      <c r="L99" s="3">
        <v>20</v>
      </c>
      <c r="M99" s="3" t="s">
        <v>12</v>
      </c>
      <c r="N99" s="3" t="s">
        <v>7</v>
      </c>
      <c r="O99" s="4">
        <f>Úsporná_opatření[[#This Row],[Potenciál úspor energie v TJ]]*Úsporná_opatření[[#This Row],[Emisní koeficient CO2 '[kg/GJ']]]</f>
        <v>218005.92073728787</v>
      </c>
      <c r="P99" s="4">
        <f>Úsporná_opatření[[#This Row],[Potenciál úspor energie v TJ]]*Úsporná_opatření[[#This Row],[Emisní koeficient CH4 '[g/GJ']]]</f>
        <v>2329.1245171630176</v>
      </c>
      <c r="Q99" s="4">
        <f>Úsporná_opatření[[#This Row],[Potenciál úspor energie v TJ]]*Úsporná_opatření[[#This Row],[Emisní koeficient N2O '[g/GJ']]]</f>
        <v>3057.2092854990638</v>
      </c>
      <c r="R99" s="4">
        <f>Úsporná_opatření[[#This Row],[Potenciál úspor energie v TJ]]*Úsporná_opatření[[#This Row],[Emisní koeficient CO2 eq '[kg/GJ']]]</f>
        <v>218975.19721729567</v>
      </c>
      <c r="S99" s="7">
        <f>VLOOKUP(Úsporná_opatření[[#This Row],[Šetřený nositel energie]] &amp; "#" &amp; Úsporná_opatření[[#This Row],[Nejpodobnější sektor]],Emiskoef,2,FALSE)</f>
        <v>243.30535699975164</v>
      </c>
      <c r="T99" s="7">
        <f>VLOOKUP(Úsporná_opatření[[#This Row],[Šetřený nositel energie]] &amp; "#" &amp; Úsporná_opatření[[#This Row],[Nejpodobnější sektor]],Emiskoef,3,FALSE)</f>
        <v>2.5994178058499644</v>
      </c>
      <c r="U99" s="7">
        <f>VLOOKUP(Úsporná_opatření[[#This Row],[Šetřený nositel energie]] &amp; "#" &amp; Úsporná_opatření[[#This Row],[Nejpodobnější sektor]],Emiskoef,4,FALSE)</f>
        <v>3.4119963077868793</v>
      </c>
      <c r="V9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9" s="4">
        <f>1000*Úsporná_opatření[[#This Row],[Investice '[Kč/GJ']]]/Úsporná_opatření[[#This Row],[Emisní koeficient CO2 eq '[kg/GJ']]]</f>
        <v>27006.333524091293</v>
      </c>
      <c r="X99" s="7" t="s">
        <v>352</v>
      </c>
    </row>
    <row r="100" spans="2:24" x14ac:dyDescent="0.25">
      <c r="B100" s="3" t="s">
        <v>6</v>
      </c>
      <c r="C100" s="3" t="s">
        <v>70</v>
      </c>
      <c r="D100" s="3" t="s">
        <v>173</v>
      </c>
      <c r="E100" s="3" t="str">
        <f>CONCATENATE(Úsporná_opatření[[#This Row],[Sektor]],Úsporná_opatření[[#This Row],[Opatření]])</f>
        <v>SlužbyNáhrada přímotopu tepelným čerpadlem</v>
      </c>
      <c r="F100" s="4">
        <v>7200</v>
      </c>
      <c r="G100" s="11">
        <f>VLOOKUP(Úsporná_opatření[[#This Row],[Opatření podrobně]],Potenciál_opatření!$A$1:$C$191,3,0)</f>
        <v>0.5</v>
      </c>
      <c r="H100" s="13">
        <f>Úsporná_opatření[[#This Row],[Potenciál úspor energie v TJ]]*Úsporná_opatření[[#This Row],[Investice '[Kč/GJ']]]*1000</f>
        <v>1955205358.297966</v>
      </c>
      <c r="I100" s="13">
        <f>Úsporná_opatření[[#This Row],[Podíl dotace '[%']]]*Úsporná_opatření[[#This Row],[Investice]]</f>
        <v>977602679.148983</v>
      </c>
      <c r="J100" s="3">
        <v>10</v>
      </c>
      <c r="K100" s="12">
        <f>VLOOKUP(Úsporná_opatření[[#This Row],[Opatření podrobně]],Potenciál_opatření!$A$1:$C$191,2,0)</f>
        <v>271.55629976360638</v>
      </c>
      <c r="L100" s="3">
        <v>20</v>
      </c>
      <c r="M100" s="3" t="s">
        <v>12</v>
      </c>
      <c r="N100" s="3" t="s">
        <v>6</v>
      </c>
      <c r="O100" s="4">
        <f>Úsporná_opatření[[#This Row],[Potenciál úspor energie v TJ]]*Úsporná_opatření[[#This Row],[Emisní koeficient CO2 '[kg/GJ']]]</f>
        <v>66071.102459515823</v>
      </c>
      <c r="P100" s="4">
        <f>Úsporná_opatření[[#This Row],[Potenciál úspor energie v TJ]]*Úsporná_opatření[[#This Row],[Emisní koeficient CH4 '[g/GJ']]]</f>
        <v>705.88828089624894</v>
      </c>
      <c r="Q100" s="4">
        <f>Úsporná_opatření[[#This Row],[Potenciál úspor energie v TJ]]*Úsporná_opatření[[#This Row],[Emisní koeficient N2O '[g/GJ']]]</f>
        <v>926.549092149692</v>
      </c>
      <c r="R100" s="4">
        <f>Úsporná_opatření[[#This Row],[Potenciál úspor energie v TJ]]*Úsporná_opatření[[#This Row],[Emisní koeficient CO2 eq '[kg/GJ']]]</f>
        <v>66364.861295998839</v>
      </c>
      <c r="S100" s="7">
        <f>VLOOKUP(Úsporná_opatření[[#This Row],[Šetřený nositel energie]] &amp; "#" &amp; Úsporná_opatření[[#This Row],[Nejpodobnější sektor]],Emiskoef,2,FALSE)</f>
        <v>243.30535699975164</v>
      </c>
      <c r="T100" s="7">
        <f>VLOOKUP(Úsporná_opatření[[#This Row],[Šetřený nositel energie]] &amp; "#" &amp; Úsporná_opatření[[#This Row],[Nejpodobnější sektor]],Emiskoef,3,FALSE)</f>
        <v>2.5994178058499644</v>
      </c>
      <c r="U100" s="7">
        <f>VLOOKUP(Úsporná_opatření[[#This Row],[Šetřený nositel energie]] &amp; "#" &amp; Úsporná_opatření[[#This Row],[Nejpodobnější sektor]],Emiskoef,4,FALSE)</f>
        <v>3.4119963077868793</v>
      </c>
      <c r="V10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0" s="4">
        <f>1000*Úsporná_opatření[[#This Row],[Investice '[Kč/GJ']]]/Úsporná_opatření[[#This Row],[Emisní koeficient CO2 eq '[kg/GJ']]]</f>
        <v>29461.454753554135</v>
      </c>
      <c r="X100" s="7" t="s">
        <v>353</v>
      </c>
    </row>
    <row r="101" spans="2:24" x14ac:dyDescent="0.25">
      <c r="B101" s="3" t="s">
        <v>311</v>
      </c>
      <c r="C101" s="3" t="s">
        <v>70</v>
      </c>
      <c r="D101" s="3" t="s">
        <v>174</v>
      </c>
      <c r="E101" s="3" t="str">
        <f>CONCATENATE(Úsporná_opatření[[#This Row],[Sektor]],Úsporná_opatření[[#This Row],[Opatření]])</f>
        <v>veřejná správaNáhrada přímotopu tepelným čerpadlem</v>
      </c>
      <c r="F101" s="4">
        <v>7200</v>
      </c>
      <c r="G101" s="11">
        <f>VLOOKUP(Úsporná_opatření[[#This Row],[Opatření podrobně]],Potenciál_opatření!$A$1:$C$191,3,0)</f>
        <v>0</v>
      </c>
      <c r="H101" s="13">
        <f>Úsporná_opatření[[#This Row],[Potenciál úspor energie v TJ]]*Úsporná_opatření[[#This Row],[Investice '[Kč/GJ']]]*1000</f>
        <v>1544356765.0203907</v>
      </c>
      <c r="I101" s="13">
        <f>Úsporná_opatření[[#This Row],[Podíl dotace '[%']]]*Úsporná_opatření[[#This Row],[Investice]]</f>
        <v>0</v>
      </c>
      <c r="J101" s="3">
        <v>10</v>
      </c>
      <c r="K101" s="12">
        <f>VLOOKUP(Úsporná_opatření[[#This Row],[Opatření podrobně]],Potenciál_opatření!$A$1:$C$191,2,0)</f>
        <v>214.49399514172094</v>
      </c>
      <c r="L101" s="3">
        <v>20</v>
      </c>
      <c r="M101" s="3" t="s">
        <v>12</v>
      </c>
      <c r="N101" s="3" t="s">
        <v>8</v>
      </c>
      <c r="O101" s="4">
        <f>Úsporná_opatření[[#This Row],[Potenciál úspor energie v TJ]]*Úsporná_opatření[[#This Row],[Emisní koeficient CO2 '[kg/GJ']]]</f>
        <v>52187.538062259409</v>
      </c>
      <c r="P101" s="4">
        <f>Úsporná_opatření[[#This Row],[Potenciál úspor energie v TJ]]*Úsporná_opatření[[#This Row],[Emisní koeficient CH4 '[g/GJ']]]</f>
        <v>557.55951021928513</v>
      </c>
      <c r="Q101" s="4">
        <f>Úsporná_opatření[[#This Row],[Potenciál úspor energie v TJ]]*Úsporná_opatření[[#This Row],[Emisní koeficient N2O '[g/GJ']]]</f>
        <v>731.85271946600869</v>
      </c>
      <c r="R101" s="4">
        <f>Úsporná_opatření[[#This Row],[Potenciál úspor energie v TJ]]*Úsporná_opatření[[#This Row],[Emisní koeficient CO2 eq '[kg/GJ']]]</f>
        <v>52419.569160415762</v>
      </c>
      <c r="S101" s="7">
        <f>VLOOKUP(Úsporná_opatření[[#This Row],[Šetřený nositel energie]] &amp; "#" &amp; Úsporná_opatření[[#This Row],[Nejpodobnější sektor]],Emiskoef,2,FALSE)</f>
        <v>243.30535699975164</v>
      </c>
      <c r="T101" s="7">
        <f>VLOOKUP(Úsporná_opatření[[#This Row],[Šetřený nositel energie]] &amp; "#" &amp; Úsporná_opatření[[#This Row],[Nejpodobnější sektor]],Emiskoef,3,FALSE)</f>
        <v>2.5994178058499644</v>
      </c>
      <c r="U101" s="7">
        <f>VLOOKUP(Úsporná_opatření[[#This Row],[Šetřený nositel energie]] &amp; "#" &amp; Úsporná_opatření[[#This Row],[Nejpodobnější sektor]],Emiskoef,4,FALSE)</f>
        <v>3.4119963077868793</v>
      </c>
      <c r="V10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1" s="4">
        <f>1000*Úsporná_opatření[[#This Row],[Investice '[Kč/GJ']]]/Úsporná_opatření[[#This Row],[Emisní koeficient CO2 eq '[kg/GJ']]]</f>
        <v>29461.454753554135</v>
      </c>
      <c r="X101" s="7" t="s">
        <v>353</v>
      </c>
    </row>
    <row r="102" spans="2:24" x14ac:dyDescent="0.25">
      <c r="B102" s="3" t="s">
        <v>7</v>
      </c>
      <c r="C102" s="3" t="s">
        <v>70</v>
      </c>
      <c r="D102" s="3" t="s">
        <v>207</v>
      </c>
      <c r="E102" s="3" t="str">
        <f>CONCATENATE(Úsporná_opatření[[#This Row],[Sektor]],Úsporná_opatření[[#This Row],[Opatření]])</f>
        <v>DomácnostiNáhrada přímotopu tepelným čerpadlem</v>
      </c>
      <c r="F102" s="4">
        <v>12000</v>
      </c>
      <c r="G102" s="11">
        <f>VLOOKUP(Úsporná_opatření[[#This Row],[Opatření podrobně]],Potenciál_opatření!$A$1:$C$191,3,0)</f>
        <v>0</v>
      </c>
      <c r="H102" s="13">
        <f>Úsporná_opatření[[#This Row],[Potenciál úspor energie v TJ]]*Úsporná_opatření[[#This Row],[Investice '[Kč/GJ']]]*1000</f>
        <v>5376106554.1399584</v>
      </c>
      <c r="I102" s="13">
        <f>Úsporná_opatření[[#This Row],[Podíl dotace '[%']]]*Úsporná_opatření[[#This Row],[Investice]]</f>
        <v>0</v>
      </c>
      <c r="J102" s="3">
        <v>10</v>
      </c>
      <c r="K102" s="12">
        <f>VLOOKUP(Úsporná_opatření[[#This Row],[Opatření podrobně]],Potenciál_opatření!$A$1:$C$191,2,0)</f>
        <v>448.00887951166322</v>
      </c>
      <c r="L102" s="3">
        <v>20</v>
      </c>
      <c r="M102" s="3" t="s">
        <v>12</v>
      </c>
      <c r="N102" s="3" t="s">
        <v>7</v>
      </c>
      <c r="O102" s="4">
        <f>Úsporná_opatření[[#This Row],[Potenciál úspor energie v TJ]]*Úsporná_opatření[[#This Row],[Emisní koeficient CO2 '[kg/GJ']]]</f>
        <v>109002.96036864394</v>
      </c>
      <c r="P102" s="4">
        <f>Úsporná_opatření[[#This Row],[Potenciál úspor energie v TJ]]*Úsporná_opatření[[#This Row],[Emisní koeficient CH4 '[g/GJ']]]</f>
        <v>1164.5622585815088</v>
      </c>
      <c r="Q102" s="4">
        <f>Úsporná_opatření[[#This Row],[Potenciál úspor energie v TJ]]*Úsporná_opatření[[#This Row],[Emisní koeficient N2O '[g/GJ']]]</f>
        <v>1528.6046427495319</v>
      </c>
      <c r="R102" s="4">
        <f>Úsporná_opatření[[#This Row],[Potenciál úspor energie v TJ]]*Úsporná_opatření[[#This Row],[Emisní koeficient CO2 eq '[kg/GJ']]]</f>
        <v>109487.59860864784</v>
      </c>
      <c r="S102" s="7">
        <f>VLOOKUP(Úsporná_opatření[[#This Row],[Šetřený nositel energie]] &amp; "#" &amp; Úsporná_opatření[[#This Row],[Nejpodobnější sektor]],Emiskoef,2,FALSE)</f>
        <v>243.30535699975164</v>
      </c>
      <c r="T102" s="7">
        <f>VLOOKUP(Úsporná_opatření[[#This Row],[Šetřený nositel energie]] &amp; "#" &amp; Úsporná_opatření[[#This Row],[Nejpodobnější sektor]],Emiskoef,3,FALSE)</f>
        <v>2.5994178058499644</v>
      </c>
      <c r="U102" s="7">
        <f>VLOOKUP(Úsporná_opatření[[#This Row],[Šetřený nositel energie]] &amp; "#" &amp; Úsporná_opatření[[#This Row],[Nejpodobnější sektor]],Emiskoef,4,FALSE)</f>
        <v>3.4119963077868793</v>
      </c>
      <c r="V10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2" s="4">
        <f>1000*Úsporná_opatření[[#This Row],[Investice '[Kč/GJ']]]/Úsporná_opatření[[#This Row],[Emisní koeficient CO2 eq '[kg/GJ']]]</f>
        <v>49102.424589256894</v>
      </c>
      <c r="X102" s="7" t="s">
        <v>353</v>
      </c>
    </row>
    <row r="103" spans="2:24" x14ac:dyDescent="0.25">
      <c r="B103" s="3" t="s">
        <v>4</v>
      </c>
      <c r="C103" s="3" t="s">
        <v>64</v>
      </c>
      <c r="D103" s="3" t="s">
        <v>110</v>
      </c>
      <c r="E103" s="3" t="str">
        <f>CONCATENATE(Úsporná_opatření[[#This Row],[Sektor]],Úsporná_opatření[[#This Row],[Opatření]])</f>
        <v>PrůmyslNáhrada uhelného kotle za uhelný</v>
      </c>
      <c r="F103" s="4">
        <v>1785.686285039201</v>
      </c>
      <c r="G103" s="11">
        <f>VLOOKUP(Úsporná_opatření[[#This Row],[Opatření podrobně]],Potenciál_opatření!$A$1:$C$191,3,0)</f>
        <v>0.75</v>
      </c>
      <c r="H103" s="13">
        <f>Úsporná_opatření[[#This Row],[Potenciál úspor energie v TJ]]*Úsporná_opatření[[#This Row],[Investice '[Kč/GJ']]]*1000</f>
        <v>2064130443.5903814</v>
      </c>
      <c r="I103" s="13">
        <f>Úsporná_opatření[[#This Row],[Podíl dotace '[%']]]*Úsporná_opatření[[#This Row],[Investice]]</f>
        <v>1548097832.692786</v>
      </c>
      <c r="J103" s="3">
        <v>20</v>
      </c>
      <c r="K103" s="12">
        <f>VLOOKUP(Úsporná_opatření[[#This Row],[Opatření podrobně]],Potenciál_opatření!$A$1:$C$191,2,0)</f>
        <v>1155.9311738484164</v>
      </c>
      <c r="L103" s="3">
        <v>20</v>
      </c>
      <c r="M103" s="3" t="s">
        <v>281</v>
      </c>
      <c r="N103" s="3" t="s">
        <v>4</v>
      </c>
      <c r="O103" s="4">
        <f>Úsporná_opatření[[#This Row],[Potenciál úspor energie v TJ]]*Úsporná_opatření[[#This Row],[Emisní koeficient CO2 '[kg/GJ']]]</f>
        <v>105267.25688581873</v>
      </c>
      <c r="P103" s="4">
        <f>Úsporná_opatření[[#This Row],[Potenciál úspor energie v TJ]]*Úsporná_opatření[[#This Row],[Emisní koeficient CH4 '[g/GJ']]]</f>
        <v>10004.074914767914</v>
      </c>
      <c r="Q103" s="4">
        <f>Úsporná_opatření[[#This Row],[Potenciál úspor energie v TJ]]*Úsporná_opatření[[#This Row],[Emisní koeficient N2O '[g/GJ']]]</f>
        <v>1491.9710326387681</v>
      </c>
      <c r="R103" s="4">
        <f>Úsporná_opatření[[#This Row],[Potenciál úspor energie v TJ]]*Úsporná_opatření[[#This Row],[Emisní koeficient CO2 eq '[kg/GJ']]]</f>
        <v>105961.96612641429</v>
      </c>
      <c r="S103" s="7">
        <f>VLOOKUP(Úsporná_opatření[[#This Row],[Šetřený nositel energie]] &amp; "#" &amp; Úsporná_opatření[[#This Row],[Nejpodobnější sektor]],Emiskoef,2,FALSE)</f>
        <v>91.067062873090237</v>
      </c>
      <c r="T103" s="7">
        <f>VLOOKUP(Úsporná_opatření[[#This Row],[Šetřený nositel energie]] &amp; "#" &amp; Úsporná_opatření[[#This Row],[Nejpodobnější sektor]],Emiskoef,3,FALSE)</f>
        <v>8.6545593207436102</v>
      </c>
      <c r="U103" s="7">
        <f>VLOOKUP(Úsporná_opatření[[#This Row],[Šetřený nositel energie]] &amp; "#" &amp; Úsporná_opatření[[#This Row],[Nejpodobnější sektor]],Emiskoef,4,FALSE)</f>
        <v>1.2907092276710399</v>
      </c>
      <c r="V103" s="7">
        <f>Úsporná_opatření[[#This Row],[Emisní koeficient CO2 '[kg/GJ']]]+0.025*Úsporná_opatření[[#This Row],[Emisní koeficient CH4 '[g/GJ']]]+0.298*Úsporná_opatření[[#This Row],[Emisní koeficient N2O '[g/GJ']]]</f>
        <v>91.668058205954807</v>
      </c>
      <c r="W103" s="4">
        <f>1000*Úsporná_opatření[[#This Row],[Investice '[Kč/GJ']]]/Úsporná_opatření[[#This Row],[Emisní koeficient CO2 eq '[kg/GJ']]]</f>
        <v>19479.918305100542</v>
      </c>
      <c r="X103" s="7" t="s">
        <v>353</v>
      </c>
    </row>
    <row r="104" spans="2:24" x14ac:dyDescent="0.25">
      <c r="B104" s="3" t="s">
        <v>42</v>
      </c>
      <c r="C104" s="3" t="s">
        <v>64</v>
      </c>
      <c r="D104" s="3" t="s">
        <v>136</v>
      </c>
      <c r="E104" s="3" t="str">
        <f>CONCATENATE(Úsporná_opatření[[#This Row],[Sektor]],Úsporná_opatření[[#This Row],[Opatření]])</f>
        <v>ZemědělstvíNáhrada uhelného kotle za uhelný</v>
      </c>
      <c r="F104" s="4">
        <v>3871.3725700784021</v>
      </c>
      <c r="G104" s="11">
        <f>VLOOKUP(Úsporná_opatření[[#This Row],[Opatření podrobně]],Potenciál_opatření!$A$1:$C$191,3,0)</f>
        <v>0.75</v>
      </c>
      <c r="H104" s="13">
        <f>Úsporná_opatření[[#This Row],[Potenciál úspor energie v TJ]]*Úsporná_opatření[[#This Row],[Investice '[Kč/GJ']]]*1000</f>
        <v>23972893.066903282</v>
      </c>
      <c r="I104" s="13">
        <f>Úsporná_opatření[[#This Row],[Podíl dotace '[%']]]*Úsporná_opatření[[#This Row],[Investice]]</f>
        <v>17979669.800177462</v>
      </c>
      <c r="J104" s="3">
        <v>20</v>
      </c>
      <c r="K104" s="12">
        <f>VLOOKUP(Úsporná_opatření[[#This Row],[Opatření podrobně]],Potenciál_opatření!$A$1:$C$191,2,0)</f>
        <v>6.1923497759394905</v>
      </c>
      <c r="L104" s="3">
        <v>20</v>
      </c>
      <c r="M104" s="3" t="s">
        <v>281</v>
      </c>
      <c r="N104" s="3" t="s">
        <v>4</v>
      </c>
      <c r="O104" s="4">
        <f>Úsporná_opatření[[#This Row],[Potenciál úspor energie v TJ]]*Úsporná_opatření[[#This Row],[Emisní koeficient CO2 '[kg/GJ']]]</f>
        <v>563.91910637764784</v>
      </c>
      <c r="P104" s="4">
        <f>Úsporná_opatření[[#This Row],[Potenciál úspor energie v TJ]]*Úsporná_opatření[[#This Row],[Emisní koeficient CH4 '[g/GJ']]]</f>
        <v>53.592058470661726</v>
      </c>
      <c r="Q104" s="4">
        <f>Úsporná_opatření[[#This Row],[Potenciál úspor energie v TJ]]*Úsporná_opatření[[#This Row],[Emisní koeficient N2O '[g/GJ']]]</f>
        <v>7.9925229967717968</v>
      </c>
      <c r="R104" s="4">
        <f>Úsporná_opatření[[#This Row],[Potenciál úspor energie v TJ]]*Úsporná_opatření[[#This Row],[Emisní koeficient CO2 eq '[kg/GJ']]]</f>
        <v>567.64067969245241</v>
      </c>
      <c r="S104" s="7">
        <f>VLOOKUP(Úsporná_opatření[[#This Row],[Šetřený nositel energie]] &amp; "#" &amp; Úsporná_opatření[[#This Row],[Nejpodobnější sektor]],Emiskoef,2,FALSE)</f>
        <v>91.067062873090237</v>
      </c>
      <c r="T104" s="7">
        <f>VLOOKUP(Úsporná_opatření[[#This Row],[Šetřený nositel energie]] &amp; "#" &amp; Úsporná_opatření[[#This Row],[Nejpodobnější sektor]],Emiskoef,3,FALSE)</f>
        <v>8.6545593207436102</v>
      </c>
      <c r="U104" s="7">
        <f>VLOOKUP(Úsporná_opatření[[#This Row],[Šetřený nositel energie]] &amp; "#" &amp; Úsporná_opatření[[#This Row],[Nejpodobnější sektor]],Emiskoef,4,FALSE)</f>
        <v>1.2907092276710399</v>
      </c>
      <c r="V104" s="7">
        <f>Úsporná_opatření[[#This Row],[Emisní koeficient CO2 '[kg/GJ']]]+0.025*Úsporná_opatření[[#This Row],[Emisní koeficient CH4 '[g/GJ']]]+0.298*Úsporná_opatření[[#This Row],[Emisní koeficient N2O '[g/GJ']]]</f>
        <v>91.668058205954807</v>
      </c>
      <c r="W104" s="4">
        <f>1000*Úsporná_opatření[[#This Row],[Investice '[Kč/GJ']]]/Úsporná_opatření[[#This Row],[Emisní koeficient CO2 eq '[kg/GJ']]]</f>
        <v>42232.514202279846</v>
      </c>
      <c r="X104" s="7" t="s">
        <v>353</v>
      </c>
    </row>
    <row r="105" spans="2:24" x14ac:dyDescent="0.25">
      <c r="B105" s="3" t="s">
        <v>19</v>
      </c>
      <c r="C105" s="3" t="s">
        <v>75</v>
      </c>
      <c r="D105" s="3" t="s">
        <v>165</v>
      </c>
      <c r="E105" s="3" t="str">
        <f>CONCATENATE(Úsporná_opatření[[#This Row],[Sektor]],Úsporná_opatření[[#This Row],[Opatření]])</f>
        <v>DopravaPřechod elektrické trakce z ss na st napájení</v>
      </c>
      <c r="F105" s="4">
        <v>6300</v>
      </c>
      <c r="G105" s="11">
        <f>VLOOKUP(Úsporná_opatření[[#This Row],[Opatření podrobně]],Potenciál_opatření!$A$1:$C$191,3,0)</f>
        <v>0.2857142857142857</v>
      </c>
      <c r="H105" s="13">
        <f>Úsporná_opatření[[#This Row],[Potenciál úspor energie v TJ]]*Úsporná_opatření[[#This Row],[Investice '[Kč/GJ']]]*1000</f>
        <v>2580900834.8214006</v>
      </c>
      <c r="I105" s="13">
        <f>Úsporná_opatření[[#This Row],[Podíl dotace '[%']]]*Úsporná_opatření[[#This Row],[Investice]]</f>
        <v>737400238.52040017</v>
      </c>
      <c r="J105" s="3">
        <v>7</v>
      </c>
      <c r="K105" s="12">
        <f>VLOOKUP(Úsporná_opatření[[#This Row],[Opatření podrobně]],Potenciál_opatření!$A$1:$C$191,2,0)</f>
        <v>409.66679917800008</v>
      </c>
      <c r="L105" s="3">
        <v>20</v>
      </c>
      <c r="M105" s="3" t="s">
        <v>12</v>
      </c>
      <c r="N105" s="3" t="s">
        <v>19</v>
      </c>
      <c r="O105" s="4">
        <f>Úsporná_opatření[[#This Row],[Potenciál úspor energie v TJ]]*Úsporná_opatření[[#This Row],[Emisní koeficient CO2 '[kg/GJ']]]</f>
        <v>99674.126824948864</v>
      </c>
      <c r="P105" s="4">
        <f>Úsporná_opatření[[#This Row],[Potenciál úspor energie v TJ]]*Úsporná_opatření[[#This Row],[Emisní koeficient CH4 '[g/GJ']]]</f>
        <v>1064.895172248855</v>
      </c>
      <c r="Q105" s="4">
        <f>Úsporná_opatření[[#This Row],[Potenciál úspor energie v TJ]]*Úsporná_opatření[[#This Row],[Emisní koeficient N2O '[g/GJ']]]</f>
        <v>1397.7816062182053</v>
      </c>
      <c r="R105" s="4">
        <f>Úsporná_opatření[[#This Row],[Potenciál úspor energie v TJ]]*Úsporná_opatření[[#This Row],[Emisní koeficient CO2 eq '[kg/GJ']]]</f>
        <v>100117.28812290812</v>
      </c>
      <c r="S105" s="7">
        <f>VLOOKUP(Úsporná_opatření[[#This Row],[Šetřený nositel energie]] &amp; "#" &amp; Úsporná_opatření[[#This Row],[Nejpodobnější sektor]],Emiskoef,2,FALSE)</f>
        <v>243.30535699975164</v>
      </c>
      <c r="T105" s="7">
        <f>VLOOKUP(Úsporná_opatření[[#This Row],[Šetřený nositel energie]] &amp; "#" &amp; Úsporná_opatření[[#This Row],[Nejpodobnější sektor]],Emiskoef,3,FALSE)</f>
        <v>2.5994178058499644</v>
      </c>
      <c r="U105" s="7">
        <f>VLOOKUP(Úsporná_opatření[[#This Row],[Šetřený nositel energie]] &amp; "#" &amp; Úsporná_opatření[[#This Row],[Nejpodobnější sektor]],Emiskoef,4,FALSE)</f>
        <v>3.4119963077868793</v>
      </c>
      <c r="V10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5" s="4">
        <f>1000*Úsporná_opatření[[#This Row],[Investice '[Kč/GJ']]]/Úsporná_opatření[[#This Row],[Emisní koeficient CO2 eq '[kg/GJ']]]</f>
        <v>25778.772909359868</v>
      </c>
      <c r="X105" s="7" t="s">
        <v>352</v>
      </c>
    </row>
    <row r="106" spans="2:24" x14ac:dyDescent="0.25">
      <c r="B106" s="3" t="s">
        <v>19</v>
      </c>
      <c r="C106" s="3" t="s">
        <v>78</v>
      </c>
      <c r="D106" s="3" t="s">
        <v>182</v>
      </c>
      <c r="E106" s="3" t="str">
        <f>CONCATENATE(Úsporná_opatření[[#This Row],[Sektor]],Úsporná_opatření[[#This Row],[Opatření]])</f>
        <v>DopravaPřechod z individuální osobní dopravy na veřejnou osobní dopravu</v>
      </c>
      <c r="F106" s="4">
        <v>8280</v>
      </c>
      <c r="G106" s="11">
        <f>VLOOKUP(Úsporná_opatření[[#This Row],[Opatření podrobně]],Potenciál_opatření!$A$1:$C$191,3,0)</f>
        <v>0.4565217391304347</v>
      </c>
      <c r="H106" s="13">
        <f>Úsporná_opatření[[#This Row],[Potenciál úspor energie v TJ]]*Úsporná_opatření[[#This Row],[Investice '[Kč/GJ']]]*1000</f>
        <v>82833303829.247971</v>
      </c>
      <c r="I106" s="13">
        <f>Úsporná_opatření[[#This Row],[Podíl dotace '[%']]]*Úsporná_opatření[[#This Row],[Investice]]</f>
        <v>37815203922.047981</v>
      </c>
      <c r="J106" s="3">
        <v>9.1999999999999993</v>
      </c>
      <c r="K106" s="12">
        <f>VLOOKUP(Úsporná_opatření[[#This Row],[Opatření podrobně]],Potenciál_opatření!$A$1:$C$191,2,0)</f>
        <v>10004.022201599995</v>
      </c>
      <c r="L106" s="3">
        <v>20</v>
      </c>
      <c r="M106" s="3" t="s">
        <v>282</v>
      </c>
      <c r="N106" s="3" t="s">
        <v>21</v>
      </c>
      <c r="O106" s="4">
        <f>Úsporná_opatření[[#This Row],[Potenciál úspor energie v TJ]]*Úsporná_opatření[[#This Row],[Emisní koeficient CO2 '[kg/GJ']]]</f>
        <v>689655.44959475985</v>
      </c>
      <c r="P106" s="4">
        <f>Úsporná_opatření[[#This Row],[Potenciál úspor energie v TJ]]*Úsporná_opatření[[#This Row],[Emisní koeficient CH4 '[g/GJ']]]</f>
        <v>35605.936556638808</v>
      </c>
      <c r="Q106" s="4">
        <f>Úsporná_opatření[[#This Row],[Potenciál úspor energie v TJ]]*Úsporná_opatření[[#This Row],[Emisní koeficient N2O '[g/GJ']]]</f>
        <v>50727.913648988011</v>
      </c>
      <c r="R106" s="4">
        <f>Úsporná_opatření[[#This Row],[Potenciál úspor energie v TJ]]*Úsporná_opatření[[#This Row],[Emisní koeficient CO2 eq '[kg/GJ']]]</f>
        <v>705662.51627607434</v>
      </c>
      <c r="S106" s="7">
        <f>VLOOKUP(Úsporná_opatření[[#This Row],[Šetřený nositel energie]] &amp; "#" &amp; Úsporná_opatření[[#This Row],[Nejpodobnější sektor]],Emiskoef,2,FALSE)</f>
        <v>68.937816779780803</v>
      </c>
      <c r="T106" s="7">
        <f>VLOOKUP(Úsporná_opatření[[#This Row],[Šetřený nositel energie]] &amp; "#" &amp; Úsporná_opatření[[#This Row],[Nejpodobnější sektor]],Emiskoef,3,FALSE)</f>
        <v>3.5591620889190114</v>
      </c>
      <c r="U106" s="7">
        <f>VLOOKUP(Úsporná_opatření[[#This Row],[Šetřený nositel energie]] &amp; "#" &amp; Úsporná_opatření[[#This Row],[Nejpodobnější sektor]],Emiskoef,4,FALSE)</f>
        <v>5.0707518062959549</v>
      </c>
      <c r="V106" s="7">
        <f>Úsporná_opatření[[#This Row],[Emisní koeficient CO2 '[kg/GJ']]]+0.025*Úsporná_opatření[[#This Row],[Emisní koeficient CH4 '[g/GJ']]]+0.298*Úsporná_opatření[[#This Row],[Emisní koeficient N2O '[g/GJ']]]</f>
        <v>70.53787987027998</v>
      </c>
      <c r="W106" s="4">
        <f>1000*Úsporná_opatření[[#This Row],[Investice '[Kč/GJ']]]/Úsporná_opatření[[#This Row],[Emisní koeficient CO2 eq '[kg/GJ']]]</f>
        <v>117383.73786151527</v>
      </c>
      <c r="X106" s="7" t="s">
        <v>352</v>
      </c>
    </row>
    <row r="107" spans="2:24" x14ac:dyDescent="0.25">
      <c r="B107" s="3" t="s">
        <v>4</v>
      </c>
      <c r="C107" s="3" t="s">
        <v>58</v>
      </c>
      <c r="D107" s="3" t="s">
        <v>99</v>
      </c>
      <c r="E107" s="3" t="str">
        <f>CONCATENATE(Úsporná_opatření[[#This Row],[Sektor]],Úsporná_opatření[[#This Row],[Opatření]])</f>
        <v>PrůmyslRegulace oběhového čerpadla</v>
      </c>
      <c r="F107" s="4">
        <v>920</v>
      </c>
      <c r="G107" s="11">
        <f>VLOOKUP(Úsporná_opatření[[#This Row],[Opatření podrobně]],Potenciál_opatření!$A$1:$C$191,3,0)</f>
        <v>0</v>
      </c>
      <c r="H107" s="13">
        <f>Úsporná_opatření[[#This Row],[Potenciál úspor energie v TJ]]*Úsporná_opatření[[#This Row],[Investice '[Kč/GJ']]]*1000</f>
        <v>14461427.241449997</v>
      </c>
      <c r="I107" s="13">
        <f>Úsporná_opatření[[#This Row],[Podíl dotace '[%']]]*Úsporná_opatření[[#This Row],[Investice]]</f>
        <v>0</v>
      </c>
      <c r="J107" s="3">
        <v>2</v>
      </c>
      <c r="K107" s="12">
        <f>VLOOKUP(Úsporná_opatření[[#This Row],[Opatření podrobně]],Potenciál_opatření!$A$1:$C$191,2,0)</f>
        <v>15.718942653749997</v>
      </c>
      <c r="L107" s="3">
        <v>20</v>
      </c>
      <c r="M107" s="3" t="s">
        <v>12</v>
      </c>
      <c r="N107" s="3" t="s">
        <v>4</v>
      </c>
      <c r="O107" s="4">
        <f>Úsporná_opatření[[#This Row],[Potenciál úspor energie v TJ]]*Úsporná_opatření[[#This Row],[Emisní koeficient CO2 '[kg/GJ']]]</f>
        <v>3824.5029540292662</v>
      </c>
      <c r="P107" s="4">
        <f>Úsporná_opatření[[#This Row],[Potenciál úspor energie v TJ]]*Úsporná_opatření[[#This Row],[Emisní koeficient CH4 '[g/GJ']]]</f>
        <v>40.860099423292233</v>
      </c>
      <c r="Q107" s="4">
        <f>Úsporná_opatření[[#This Row],[Potenciál úspor energie v TJ]]*Úsporná_opatření[[#This Row],[Emisní koeficient N2O '[g/GJ']]]</f>
        <v>53.632974296908678</v>
      </c>
      <c r="R107" s="4">
        <f>Úsporná_opatření[[#This Row],[Potenciál úspor energie v TJ]]*Úsporná_opatření[[#This Row],[Emisní koeficient CO2 eq '[kg/GJ']]]</f>
        <v>3841.5070828553276</v>
      </c>
      <c r="S107" s="7">
        <f>VLOOKUP(Úsporná_opatření[[#This Row],[Šetřený nositel energie]] &amp; "#" &amp; Úsporná_opatření[[#This Row],[Nejpodobnější sektor]],Emiskoef,2,FALSE)</f>
        <v>243.30535699975164</v>
      </c>
      <c r="T107" s="7">
        <f>VLOOKUP(Úsporná_opatření[[#This Row],[Šetřený nositel energie]] &amp; "#" &amp; Úsporná_opatření[[#This Row],[Nejpodobnější sektor]],Emiskoef,3,FALSE)</f>
        <v>2.5994178058499644</v>
      </c>
      <c r="U107" s="7">
        <f>VLOOKUP(Úsporná_opatření[[#This Row],[Šetřený nositel energie]] &amp; "#" &amp; Úsporná_opatření[[#This Row],[Nejpodobnější sektor]],Emiskoef,4,FALSE)</f>
        <v>3.4119963077868793</v>
      </c>
      <c r="V10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7" s="4">
        <f>1000*Úsporná_opatření[[#This Row],[Investice '[Kč/GJ']]]/Úsporná_opatření[[#This Row],[Emisní koeficient CO2 eq '[kg/GJ']]]</f>
        <v>3764.5192185096953</v>
      </c>
      <c r="X107" s="7" t="s">
        <v>351</v>
      </c>
    </row>
    <row r="108" spans="2:24" x14ac:dyDescent="0.25">
      <c r="B108" s="3" t="s">
        <v>4</v>
      </c>
      <c r="C108" s="3" t="s">
        <v>58</v>
      </c>
      <c r="D108" s="3" t="s">
        <v>102</v>
      </c>
      <c r="E108" s="3" t="str">
        <f>CONCATENATE(Úsporná_opatření[[#This Row],[Sektor]],Úsporná_opatření[[#This Row],[Opatření]])</f>
        <v>PrůmyslRegulace oběhového čerpadla</v>
      </c>
      <c r="F108" s="4">
        <v>1400</v>
      </c>
      <c r="G108" s="11">
        <f>VLOOKUP(Úsporná_opatření[[#This Row],[Opatření podrobně]],Potenciál_opatření!$A$1:$C$191,3,0)</f>
        <v>0</v>
      </c>
      <c r="H108" s="13">
        <f>Úsporná_opatření[[#This Row],[Potenciál úspor energie v TJ]]*Úsporná_opatření[[#This Row],[Investice '[Kč/GJ']]]*1000</f>
        <v>44013039.430499993</v>
      </c>
      <c r="I108" s="13">
        <f>Úsporná_opatření[[#This Row],[Podíl dotace '[%']]]*Úsporná_opatření[[#This Row],[Investice]]</f>
        <v>0</v>
      </c>
      <c r="J108" s="3">
        <v>4</v>
      </c>
      <c r="K108" s="12">
        <f>VLOOKUP(Úsporná_opatření[[#This Row],[Opatření podrobně]],Potenciál_opatření!$A$1:$C$191,2,0)</f>
        <v>31.437885307499993</v>
      </c>
      <c r="L108" s="3">
        <v>20</v>
      </c>
      <c r="M108" s="3" t="s">
        <v>12</v>
      </c>
      <c r="N108" s="3" t="s">
        <v>4</v>
      </c>
      <c r="O108" s="4">
        <f>Úsporná_opatření[[#This Row],[Potenciál úspor energie v TJ]]*Úsporná_opatření[[#This Row],[Emisní koeficient CO2 '[kg/GJ']]]</f>
        <v>7649.0059080585324</v>
      </c>
      <c r="P108" s="4">
        <f>Úsporná_opatření[[#This Row],[Potenciál úspor energie v TJ]]*Úsporná_opatření[[#This Row],[Emisní koeficient CH4 '[g/GJ']]]</f>
        <v>81.720198846584466</v>
      </c>
      <c r="Q108" s="4">
        <f>Úsporná_opatření[[#This Row],[Potenciál úspor energie v TJ]]*Úsporná_opatření[[#This Row],[Emisní koeficient N2O '[g/GJ']]]</f>
        <v>107.26594859381736</v>
      </c>
      <c r="R108" s="4">
        <f>Úsporná_opatření[[#This Row],[Potenciál úspor energie v TJ]]*Úsporná_opatření[[#This Row],[Emisní koeficient CO2 eq '[kg/GJ']]]</f>
        <v>7683.0141657106551</v>
      </c>
      <c r="S108" s="7">
        <f>VLOOKUP(Úsporná_opatření[[#This Row],[Šetřený nositel energie]] &amp; "#" &amp; Úsporná_opatření[[#This Row],[Nejpodobnější sektor]],Emiskoef,2,FALSE)</f>
        <v>243.30535699975164</v>
      </c>
      <c r="T108" s="7">
        <f>VLOOKUP(Úsporná_opatření[[#This Row],[Šetřený nositel energie]] &amp; "#" &amp; Úsporná_opatření[[#This Row],[Nejpodobnější sektor]],Emiskoef,3,FALSE)</f>
        <v>2.5994178058499644</v>
      </c>
      <c r="U108" s="7">
        <f>VLOOKUP(Úsporná_opatření[[#This Row],[Šetřený nositel energie]] &amp; "#" &amp; Úsporná_opatření[[#This Row],[Nejpodobnější sektor]],Emiskoef,4,FALSE)</f>
        <v>3.4119963077868793</v>
      </c>
      <c r="V10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8" s="4">
        <f>1000*Úsporná_opatření[[#This Row],[Investice '[Kč/GJ']]]/Úsporná_opatření[[#This Row],[Emisní koeficient CO2 eq '[kg/GJ']]]</f>
        <v>5728.6162020799711</v>
      </c>
      <c r="X108" s="7" t="s">
        <v>352</v>
      </c>
    </row>
    <row r="109" spans="2:24" x14ac:dyDescent="0.25">
      <c r="B109" s="3" t="s">
        <v>6</v>
      </c>
      <c r="C109" s="3" t="s">
        <v>58</v>
      </c>
      <c r="D109" s="3" t="s">
        <v>111</v>
      </c>
      <c r="E109" s="3" t="str">
        <f>CONCATENATE(Úsporná_opatření[[#This Row],[Sektor]],Úsporná_opatření[[#This Row],[Opatření]])</f>
        <v>SlužbyRegulace oběhového čerpadla</v>
      </c>
      <c r="F109" s="4">
        <v>1800</v>
      </c>
      <c r="G109" s="11">
        <f>VLOOKUP(Úsporná_opatření[[#This Row],[Opatření podrobně]],Potenciál_opatření!$A$1:$C$191,3,0)</f>
        <v>0</v>
      </c>
      <c r="H109" s="13">
        <f>Úsporná_opatření[[#This Row],[Potenciál úspor energie v TJ]]*Úsporná_opatření[[#This Row],[Investice '[Kč/GJ']]]*1000</f>
        <v>10615911.191420848</v>
      </c>
      <c r="I109" s="13">
        <f>Úsporná_opatření[[#This Row],[Podíl dotace '[%']]]*Úsporná_opatření[[#This Row],[Investice]]</f>
        <v>0</v>
      </c>
      <c r="J109" s="3">
        <v>2</v>
      </c>
      <c r="K109" s="12">
        <f>VLOOKUP(Úsporná_opatření[[#This Row],[Opatření podrobně]],Potenciál_opatření!$A$1:$C$191,2,0)</f>
        <v>5.8977284396782492</v>
      </c>
      <c r="L109" s="3">
        <v>20</v>
      </c>
      <c r="M109" s="3" t="s">
        <v>12</v>
      </c>
      <c r="N109" s="3" t="s">
        <v>6</v>
      </c>
      <c r="O109" s="4">
        <f>Úsporná_opatření[[#This Row],[Potenciál úspor energie v TJ]]*Úsporná_opatření[[#This Row],[Emisní koeficient CO2 '[kg/GJ']]]</f>
        <v>1434.9489235035046</v>
      </c>
      <c r="P109" s="4">
        <f>Úsporná_opatření[[#This Row],[Potenciál úspor energie v TJ]]*Úsporná_opatření[[#This Row],[Emisní koeficient CH4 '[g/GJ']]]</f>
        <v>15.330660320167368</v>
      </c>
      <c r="Q109" s="4">
        <f>Úsporná_opatření[[#This Row],[Potenciál úspor energie v TJ]]*Úsporná_opatření[[#This Row],[Emisní koeficient N2O '[g/GJ']]]</f>
        <v>20.123027660511859</v>
      </c>
      <c r="R109" s="4">
        <f>Úsporná_opatření[[#This Row],[Potenciál úspor energie v TJ]]*Úsporná_opatření[[#This Row],[Emisní koeficient CO2 eq '[kg/GJ']]]</f>
        <v>1441.3288522543414</v>
      </c>
      <c r="S109" s="7">
        <f>VLOOKUP(Úsporná_opatření[[#This Row],[Šetřený nositel energie]] &amp; "#" &amp; Úsporná_opatření[[#This Row],[Nejpodobnější sektor]],Emiskoef,2,FALSE)</f>
        <v>243.30535699975164</v>
      </c>
      <c r="T109" s="7">
        <f>VLOOKUP(Úsporná_opatření[[#This Row],[Šetřený nositel energie]] &amp; "#" &amp; Úsporná_opatření[[#This Row],[Nejpodobnější sektor]],Emiskoef,3,FALSE)</f>
        <v>2.5994178058499644</v>
      </c>
      <c r="U109" s="7">
        <f>VLOOKUP(Úsporná_opatření[[#This Row],[Šetřený nositel energie]] &amp; "#" &amp; Úsporná_opatření[[#This Row],[Nejpodobnější sektor]],Emiskoef,4,FALSE)</f>
        <v>3.4119963077868793</v>
      </c>
      <c r="V10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9" s="4">
        <f>1000*Úsporná_opatření[[#This Row],[Investice '[Kč/GJ']]]/Úsporná_opatření[[#This Row],[Emisní koeficient CO2 eq '[kg/GJ']]]</f>
        <v>7365.3636883885338</v>
      </c>
      <c r="X109" s="7" t="s">
        <v>351</v>
      </c>
    </row>
    <row r="110" spans="2:24" x14ac:dyDescent="0.25">
      <c r="B110" s="3" t="s">
        <v>311</v>
      </c>
      <c r="C110" s="3" t="s">
        <v>58</v>
      </c>
      <c r="D110" s="3" t="s">
        <v>112</v>
      </c>
      <c r="E110" s="3" t="str">
        <f>CONCATENATE(Úsporná_opatření[[#This Row],[Sektor]],Úsporná_opatření[[#This Row],[Opatření]])</f>
        <v>veřejná správaRegulace oběhového čerpadla</v>
      </c>
      <c r="F110" s="4">
        <v>1800</v>
      </c>
      <c r="G110" s="11">
        <f>VLOOKUP(Úsporná_opatření[[#This Row],[Opatření podrobně]],Potenciál_opatření!$A$1:$C$191,3,0)</f>
        <v>0</v>
      </c>
      <c r="H110" s="13">
        <f>Úsporná_opatření[[#This Row],[Potenciál úspor energie v TJ]]*Úsporná_opatření[[#This Row],[Investice '[Kč/GJ']]]*1000</f>
        <v>9666685.6588291507</v>
      </c>
      <c r="I110" s="13">
        <f>Úsporná_opatření[[#This Row],[Podíl dotace '[%']]]*Úsporná_opatření[[#This Row],[Investice]]</f>
        <v>0</v>
      </c>
      <c r="J110" s="3">
        <v>2</v>
      </c>
      <c r="K110" s="12">
        <f>VLOOKUP(Úsporná_opatření[[#This Row],[Opatření podrobně]],Potenciál_opatření!$A$1:$C$191,2,0)</f>
        <v>5.3703809215717504</v>
      </c>
      <c r="L110" s="3">
        <v>20</v>
      </c>
      <c r="M110" s="3" t="s">
        <v>12</v>
      </c>
      <c r="N110" s="3" t="s">
        <v>8</v>
      </c>
      <c r="O110" s="4">
        <f>Úsporná_opatření[[#This Row],[Potenciál úspor energie v TJ]]*Úsporná_opatření[[#This Row],[Emisní koeficient CO2 '[kg/GJ']]]</f>
        <v>1306.64244734767</v>
      </c>
      <c r="P110" s="4">
        <f>Úsporná_opatření[[#This Row],[Potenciál úspor energie v TJ]]*Úsporná_opatření[[#This Row],[Emisní koeficient CH4 '[g/GJ']]]</f>
        <v>13.95986379173055</v>
      </c>
      <c r="Q110" s="4">
        <f>Úsporná_opatření[[#This Row],[Potenciál úspor energie v TJ]]*Úsporná_opatření[[#This Row],[Emisní koeficient N2O '[g/GJ']]]</f>
        <v>18.323719875811911</v>
      </c>
      <c r="R110" s="4">
        <f>Úsporná_opatření[[#This Row],[Potenciál úspor energie v TJ]]*Úsporná_opatření[[#This Row],[Emisní koeficient CO2 eq '[kg/GJ']]]</f>
        <v>1312.4519124654553</v>
      </c>
      <c r="S110" s="7">
        <f>VLOOKUP(Úsporná_opatření[[#This Row],[Šetřený nositel energie]] &amp; "#" &amp; Úsporná_opatření[[#This Row],[Nejpodobnější sektor]],Emiskoef,2,FALSE)</f>
        <v>243.30535699975164</v>
      </c>
      <c r="T110" s="7">
        <f>VLOOKUP(Úsporná_opatření[[#This Row],[Šetřený nositel energie]] &amp; "#" &amp; Úsporná_opatření[[#This Row],[Nejpodobnější sektor]],Emiskoef,3,FALSE)</f>
        <v>2.5994178058499644</v>
      </c>
      <c r="U110" s="7">
        <f>VLOOKUP(Úsporná_opatření[[#This Row],[Šetřený nositel energie]] &amp; "#" &amp; Úsporná_opatření[[#This Row],[Nejpodobnější sektor]],Emiskoef,4,FALSE)</f>
        <v>3.4119963077868793</v>
      </c>
      <c r="V11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0" s="4">
        <f>1000*Úsporná_opatření[[#This Row],[Investice '[Kč/GJ']]]/Úsporná_opatření[[#This Row],[Emisní koeficient CO2 eq '[kg/GJ']]]</f>
        <v>7365.3636883885338</v>
      </c>
      <c r="X110" s="7" t="s">
        <v>351</v>
      </c>
    </row>
    <row r="111" spans="2:24" x14ac:dyDescent="0.25">
      <c r="B111" s="3" t="s">
        <v>4</v>
      </c>
      <c r="C111" s="3" t="s">
        <v>58</v>
      </c>
      <c r="D111" s="3" t="s">
        <v>113</v>
      </c>
      <c r="E111" s="3" t="str">
        <f>CONCATENATE(Úsporná_opatření[[#This Row],[Sektor]],Úsporná_opatření[[#This Row],[Opatření]])</f>
        <v>PrůmyslRegulace oběhového čerpadla</v>
      </c>
      <c r="F111" s="4">
        <v>2000</v>
      </c>
      <c r="G111" s="11">
        <f>VLOOKUP(Úsporná_opatření[[#This Row],[Opatření podrobně]],Potenciál_opatření!$A$1:$C$191,3,0)</f>
        <v>0.2857142857142857</v>
      </c>
      <c r="H111" s="13">
        <f>Úsporná_opatření[[#This Row],[Potenciál úspor energie v TJ]]*Úsporná_opatření[[#This Row],[Investice '[Kč/GJ']]]*1000</f>
        <v>31437885.307499994</v>
      </c>
      <c r="I111" s="13">
        <f>Úsporná_opatření[[#This Row],[Podíl dotace '[%']]]*Úsporná_opatření[[#This Row],[Investice]]</f>
        <v>8982252.9449999984</v>
      </c>
      <c r="J111" s="3">
        <v>7</v>
      </c>
      <c r="K111" s="12">
        <f>VLOOKUP(Úsporná_opatření[[#This Row],[Opatření podrobně]],Potenciál_opatření!$A$1:$C$191,2,0)</f>
        <v>15.718942653749997</v>
      </c>
      <c r="L111" s="3">
        <v>20</v>
      </c>
      <c r="M111" s="3" t="s">
        <v>12</v>
      </c>
      <c r="N111" s="3" t="s">
        <v>4</v>
      </c>
      <c r="O111" s="4">
        <f>Úsporná_opatření[[#This Row],[Potenciál úspor energie v TJ]]*Úsporná_opatření[[#This Row],[Emisní koeficient CO2 '[kg/GJ']]]</f>
        <v>3824.5029540292662</v>
      </c>
      <c r="P111" s="4">
        <f>Úsporná_opatření[[#This Row],[Potenciál úspor energie v TJ]]*Úsporná_opatření[[#This Row],[Emisní koeficient CH4 '[g/GJ']]]</f>
        <v>40.860099423292233</v>
      </c>
      <c r="Q111" s="4">
        <f>Úsporná_opatření[[#This Row],[Potenciál úspor energie v TJ]]*Úsporná_opatření[[#This Row],[Emisní koeficient N2O '[g/GJ']]]</f>
        <v>53.632974296908678</v>
      </c>
      <c r="R111" s="4">
        <f>Úsporná_opatření[[#This Row],[Potenciál úspor energie v TJ]]*Úsporná_opatření[[#This Row],[Emisní koeficient CO2 eq '[kg/GJ']]]</f>
        <v>3841.5070828553276</v>
      </c>
      <c r="S111" s="7">
        <f>VLOOKUP(Úsporná_opatření[[#This Row],[Šetřený nositel energie]] &amp; "#" &amp; Úsporná_opatření[[#This Row],[Nejpodobnější sektor]],Emiskoef,2,FALSE)</f>
        <v>243.30535699975164</v>
      </c>
      <c r="T111" s="7">
        <f>VLOOKUP(Úsporná_opatření[[#This Row],[Šetřený nositel energie]] &amp; "#" &amp; Úsporná_opatření[[#This Row],[Nejpodobnější sektor]],Emiskoef,3,FALSE)</f>
        <v>2.5994178058499644</v>
      </c>
      <c r="U111" s="7">
        <f>VLOOKUP(Úsporná_opatření[[#This Row],[Šetřený nositel energie]] &amp; "#" &amp; Úsporná_opatření[[#This Row],[Nejpodobnější sektor]],Emiskoef,4,FALSE)</f>
        <v>3.4119963077868793</v>
      </c>
      <c r="V11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1" s="4">
        <f>1000*Úsporná_opatření[[#This Row],[Investice '[Kč/GJ']]]/Úsporná_opatření[[#This Row],[Emisní koeficient CO2 eq '[kg/GJ']]]</f>
        <v>8183.737431542816</v>
      </c>
      <c r="X111" s="7" t="s">
        <v>353</v>
      </c>
    </row>
    <row r="112" spans="2:24" x14ac:dyDescent="0.25">
      <c r="B112" s="3" t="s">
        <v>6</v>
      </c>
      <c r="C112" s="3" t="s">
        <v>58</v>
      </c>
      <c r="D112" s="3" t="s">
        <v>121</v>
      </c>
      <c r="E112" s="3" t="str">
        <f>CONCATENATE(Úsporná_opatření[[#This Row],[Sektor]],Úsporná_opatření[[#This Row],[Opatření]])</f>
        <v>SlužbyRegulace oběhového čerpadla</v>
      </c>
      <c r="F112" s="4">
        <v>2200</v>
      </c>
      <c r="G112" s="11">
        <f>VLOOKUP(Úsporná_opatření[[#This Row],[Opatření podrobně]],Potenciál_opatření!$A$1:$C$191,3,0)</f>
        <v>0</v>
      </c>
      <c r="H112" s="13">
        <f>Úsporná_opatření[[#This Row],[Potenciál úspor energie v TJ]]*Úsporná_opatření[[#This Row],[Investice '[Kč/GJ']]]*1000</f>
        <v>25950005.134584296</v>
      </c>
      <c r="I112" s="13">
        <f>Úsporná_opatření[[#This Row],[Podíl dotace '[%']]]*Úsporná_opatření[[#This Row],[Investice]]</f>
        <v>0</v>
      </c>
      <c r="J112" s="3">
        <v>4</v>
      </c>
      <c r="K112" s="12">
        <f>VLOOKUP(Úsporná_opatření[[#This Row],[Opatření podrobně]],Potenciál_opatření!$A$1:$C$191,2,0)</f>
        <v>11.795456879356498</v>
      </c>
      <c r="L112" s="3">
        <v>20</v>
      </c>
      <c r="M112" s="3" t="s">
        <v>12</v>
      </c>
      <c r="N112" s="3" t="s">
        <v>6</v>
      </c>
      <c r="O112" s="4">
        <f>Úsporná_opatření[[#This Row],[Potenciál úspor energie v TJ]]*Úsporná_opatření[[#This Row],[Emisní koeficient CO2 '[kg/GJ']]]</f>
        <v>2869.8978470070092</v>
      </c>
      <c r="P112" s="4">
        <f>Úsporná_opatření[[#This Row],[Potenciál úspor energie v TJ]]*Úsporná_opatření[[#This Row],[Emisní koeficient CH4 '[g/GJ']]]</f>
        <v>30.661320640334736</v>
      </c>
      <c r="Q112" s="4">
        <f>Úsporná_opatření[[#This Row],[Potenciál úspor energie v TJ]]*Úsporná_opatření[[#This Row],[Emisní koeficient N2O '[g/GJ']]]</f>
        <v>40.246055321023718</v>
      </c>
      <c r="R112" s="4">
        <f>Úsporná_opatření[[#This Row],[Potenciál úspor energie v TJ]]*Úsporná_opatření[[#This Row],[Emisní koeficient CO2 eq '[kg/GJ']]]</f>
        <v>2882.6577045086829</v>
      </c>
      <c r="S112" s="7">
        <f>VLOOKUP(Úsporná_opatření[[#This Row],[Šetřený nositel energie]] &amp; "#" &amp; Úsporná_opatření[[#This Row],[Nejpodobnější sektor]],Emiskoef,2,FALSE)</f>
        <v>243.30535699975164</v>
      </c>
      <c r="T112" s="7">
        <f>VLOOKUP(Úsporná_opatření[[#This Row],[Šetřený nositel energie]] &amp; "#" &amp; Úsporná_opatření[[#This Row],[Nejpodobnější sektor]],Emiskoef,3,FALSE)</f>
        <v>2.5994178058499644</v>
      </c>
      <c r="U112" s="7">
        <f>VLOOKUP(Úsporná_opatření[[#This Row],[Šetřený nositel energie]] &amp; "#" &amp; Úsporná_opatření[[#This Row],[Nejpodobnější sektor]],Emiskoef,4,FALSE)</f>
        <v>3.4119963077868793</v>
      </c>
      <c r="V11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2" s="4">
        <f>1000*Úsporná_opatření[[#This Row],[Investice '[Kč/GJ']]]/Úsporná_opatření[[#This Row],[Emisní koeficient CO2 eq '[kg/GJ']]]</f>
        <v>9002.1111746970964</v>
      </c>
      <c r="X112" s="7" t="s">
        <v>352</v>
      </c>
    </row>
    <row r="113" spans="2:24" x14ac:dyDescent="0.25">
      <c r="B113" s="3" t="s">
        <v>311</v>
      </c>
      <c r="C113" s="3" t="s">
        <v>58</v>
      </c>
      <c r="D113" s="3" t="s">
        <v>122</v>
      </c>
      <c r="E113" s="3" t="str">
        <f>CONCATENATE(Úsporná_opatření[[#This Row],[Sektor]],Úsporná_opatření[[#This Row],[Opatření]])</f>
        <v>veřejná správaRegulace oběhového čerpadla</v>
      </c>
      <c r="F113" s="4">
        <v>2200</v>
      </c>
      <c r="G113" s="11">
        <f>VLOOKUP(Úsporná_opatření[[#This Row],[Opatření podrobně]],Potenciál_opatření!$A$1:$C$191,3,0)</f>
        <v>0</v>
      </c>
      <c r="H113" s="13">
        <f>Úsporná_opatření[[#This Row],[Potenciál úspor energie v TJ]]*Úsporná_opatření[[#This Row],[Investice '[Kč/GJ']]]*1000</f>
        <v>23629676.0549157</v>
      </c>
      <c r="I113" s="13">
        <f>Úsporná_opatření[[#This Row],[Podíl dotace '[%']]]*Úsporná_opatření[[#This Row],[Investice]]</f>
        <v>0</v>
      </c>
      <c r="J113" s="3">
        <v>4</v>
      </c>
      <c r="K113" s="12">
        <f>VLOOKUP(Úsporná_opatření[[#This Row],[Opatření podrobně]],Potenciál_opatření!$A$1:$C$191,2,0)</f>
        <v>10.740761843143501</v>
      </c>
      <c r="L113" s="3">
        <v>20</v>
      </c>
      <c r="M113" s="3" t="s">
        <v>12</v>
      </c>
      <c r="N113" s="3" t="s">
        <v>8</v>
      </c>
      <c r="O113" s="4">
        <f>Úsporná_opatření[[#This Row],[Potenciál úspor energie v TJ]]*Úsporná_opatření[[#This Row],[Emisní koeficient CO2 '[kg/GJ']]]</f>
        <v>2613.28489469534</v>
      </c>
      <c r="P113" s="4">
        <f>Úsporná_opatření[[#This Row],[Potenciál úspor energie v TJ]]*Úsporná_opatření[[#This Row],[Emisní koeficient CH4 '[g/GJ']]]</f>
        <v>27.9197275834611</v>
      </c>
      <c r="Q113" s="4">
        <f>Úsporná_opatření[[#This Row],[Potenciál úspor energie v TJ]]*Úsporná_opatření[[#This Row],[Emisní koeficient N2O '[g/GJ']]]</f>
        <v>36.647439751623821</v>
      </c>
      <c r="R113" s="4">
        <f>Úsporná_opatření[[#This Row],[Potenciál úspor energie v TJ]]*Úsporná_opatření[[#This Row],[Emisní koeficient CO2 eq '[kg/GJ']]]</f>
        <v>2624.9038249309106</v>
      </c>
      <c r="S113" s="7">
        <f>VLOOKUP(Úsporná_opatření[[#This Row],[Šetřený nositel energie]] &amp; "#" &amp; Úsporná_opatření[[#This Row],[Nejpodobnější sektor]],Emiskoef,2,FALSE)</f>
        <v>243.30535699975164</v>
      </c>
      <c r="T113" s="7">
        <f>VLOOKUP(Úsporná_opatření[[#This Row],[Šetřený nositel energie]] &amp; "#" &amp; Úsporná_opatření[[#This Row],[Nejpodobnější sektor]],Emiskoef,3,FALSE)</f>
        <v>2.5994178058499644</v>
      </c>
      <c r="U113" s="7">
        <f>VLOOKUP(Úsporná_opatření[[#This Row],[Šetřený nositel energie]] &amp; "#" &amp; Úsporná_opatření[[#This Row],[Nejpodobnější sektor]],Emiskoef,4,FALSE)</f>
        <v>3.4119963077868793</v>
      </c>
      <c r="V11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3" s="4">
        <f>1000*Úsporná_opatření[[#This Row],[Investice '[Kč/GJ']]]/Úsporná_opatření[[#This Row],[Emisní koeficient CO2 eq '[kg/GJ']]]</f>
        <v>9002.1111746970964</v>
      </c>
      <c r="X113" s="7" t="s">
        <v>352</v>
      </c>
    </row>
    <row r="114" spans="2:24" x14ac:dyDescent="0.25">
      <c r="B114" s="3" t="s">
        <v>6</v>
      </c>
      <c r="C114" s="3" t="s">
        <v>58</v>
      </c>
      <c r="D114" s="3" t="s">
        <v>130</v>
      </c>
      <c r="E114" s="3" t="str">
        <f>CONCATENATE(Úsporná_opatření[[#This Row],[Sektor]],Úsporná_opatření[[#This Row],[Opatření]])</f>
        <v>SlužbyRegulace oběhového čerpadla</v>
      </c>
      <c r="F114" s="4">
        <v>3200</v>
      </c>
      <c r="G114" s="11">
        <f>VLOOKUP(Úsporná_opatření[[#This Row],[Opatření podrobně]],Potenciál_opatření!$A$1:$C$191,3,0)</f>
        <v>0.2857142857142857</v>
      </c>
      <c r="H114" s="13">
        <f>Úsporná_opatření[[#This Row],[Potenciál úspor energie v TJ]]*Úsporná_opatření[[#This Row],[Investice '[Kč/GJ']]]*1000</f>
        <v>18872731.006970398</v>
      </c>
      <c r="I114" s="13">
        <f>Úsporná_opatření[[#This Row],[Podíl dotace '[%']]]*Úsporná_opatření[[#This Row],[Investice]]</f>
        <v>5392208.8591343993</v>
      </c>
      <c r="J114" s="3">
        <v>7</v>
      </c>
      <c r="K114" s="12">
        <f>VLOOKUP(Úsporná_opatření[[#This Row],[Opatření podrobně]],Potenciál_opatření!$A$1:$C$191,2,0)</f>
        <v>5.8977284396782492</v>
      </c>
      <c r="L114" s="3">
        <v>20</v>
      </c>
      <c r="M114" s="3" t="s">
        <v>12</v>
      </c>
      <c r="N114" s="3" t="s">
        <v>6</v>
      </c>
      <c r="O114" s="4">
        <f>Úsporná_opatření[[#This Row],[Potenciál úspor energie v TJ]]*Úsporná_opatření[[#This Row],[Emisní koeficient CO2 '[kg/GJ']]]</f>
        <v>1434.9489235035046</v>
      </c>
      <c r="P114" s="4">
        <f>Úsporná_opatření[[#This Row],[Potenciál úspor energie v TJ]]*Úsporná_opatření[[#This Row],[Emisní koeficient CH4 '[g/GJ']]]</f>
        <v>15.330660320167368</v>
      </c>
      <c r="Q114" s="4">
        <f>Úsporná_opatření[[#This Row],[Potenciál úspor energie v TJ]]*Úsporná_opatření[[#This Row],[Emisní koeficient N2O '[g/GJ']]]</f>
        <v>20.123027660511859</v>
      </c>
      <c r="R114" s="4">
        <f>Úsporná_opatření[[#This Row],[Potenciál úspor energie v TJ]]*Úsporná_opatření[[#This Row],[Emisní koeficient CO2 eq '[kg/GJ']]]</f>
        <v>1441.3288522543414</v>
      </c>
      <c r="S114" s="7">
        <f>VLOOKUP(Úsporná_opatření[[#This Row],[Šetřený nositel energie]] &amp; "#" &amp; Úsporná_opatření[[#This Row],[Nejpodobnější sektor]],Emiskoef,2,FALSE)</f>
        <v>243.30535699975164</v>
      </c>
      <c r="T114" s="7">
        <f>VLOOKUP(Úsporná_opatření[[#This Row],[Šetřený nositel energie]] &amp; "#" &amp; Úsporná_opatření[[#This Row],[Nejpodobnější sektor]],Emiskoef,3,FALSE)</f>
        <v>2.5994178058499644</v>
      </c>
      <c r="U114" s="7">
        <f>VLOOKUP(Úsporná_opatření[[#This Row],[Šetřený nositel energie]] &amp; "#" &amp; Úsporná_opatření[[#This Row],[Nejpodobnější sektor]],Emiskoef,4,FALSE)</f>
        <v>3.4119963077868793</v>
      </c>
      <c r="V11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4" s="4">
        <f>1000*Úsporná_opatření[[#This Row],[Investice '[Kč/GJ']]]/Úsporná_opatření[[#This Row],[Emisní koeficient CO2 eq '[kg/GJ']]]</f>
        <v>13093.979890468505</v>
      </c>
      <c r="X114" s="7" t="s">
        <v>353</v>
      </c>
    </row>
    <row r="115" spans="2:24" x14ac:dyDescent="0.25">
      <c r="B115" s="3" t="s">
        <v>311</v>
      </c>
      <c r="C115" s="3" t="s">
        <v>58</v>
      </c>
      <c r="D115" s="3" t="s">
        <v>131</v>
      </c>
      <c r="E115" s="3" t="str">
        <f>CONCATENATE(Úsporná_opatření[[#This Row],[Sektor]],Úsporná_opatření[[#This Row],[Opatření]])</f>
        <v>veřejná správaRegulace oběhového čerpadla</v>
      </c>
      <c r="F115" s="4">
        <v>3200</v>
      </c>
      <c r="G115" s="11">
        <f>VLOOKUP(Úsporná_opatření[[#This Row],[Opatření podrobně]],Potenciál_opatření!$A$1:$C$191,3,0)</f>
        <v>0</v>
      </c>
      <c r="H115" s="13">
        <f>Úsporná_opatření[[#This Row],[Potenciál úspor energie v TJ]]*Úsporná_opatření[[#This Row],[Investice '[Kč/GJ']]]*1000</f>
        <v>17185218.949029602</v>
      </c>
      <c r="I115" s="13">
        <f>Úsporná_opatření[[#This Row],[Podíl dotace '[%']]]*Úsporná_opatření[[#This Row],[Investice]]</f>
        <v>0</v>
      </c>
      <c r="J115" s="3">
        <v>7</v>
      </c>
      <c r="K115" s="12">
        <f>VLOOKUP(Úsporná_opatření[[#This Row],[Opatření podrobně]],Potenciál_opatření!$A$1:$C$191,2,0)</f>
        <v>5.3703809215717504</v>
      </c>
      <c r="L115" s="3">
        <v>20</v>
      </c>
      <c r="M115" s="3" t="s">
        <v>12</v>
      </c>
      <c r="N115" s="3" t="s">
        <v>8</v>
      </c>
      <c r="O115" s="4">
        <f>Úsporná_opatření[[#This Row],[Potenciál úspor energie v TJ]]*Úsporná_opatření[[#This Row],[Emisní koeficient CO2 '[kg/GJ']]]</f>
        <v>1306.64244734767</v>
      </c>
      <c r="P115" s="4">
        <f>Úsporná_opatření[[#This Row],[Potenciál úspor energie v TJ]]*Úsporná_opatření[[#This Row],[Emisní koeficient CH4 '[g/GJ']]]</f>
        <v>13.95986379173055</v>
      </c>
      <c r="Q115" s="4">
        <f>Úsporná_opatření[[#This Row],[Potenciál úspor energie v TJ]]*Úsporná_opatření[[#This Row],[Emisní koeficient N2O '[g/GJ']]]</f>
        <v>18.323719875811911</v>
      </c>
      <c r="R115" s="4">
        <f>Úsporná_opatření[[#This Row],[Potenciál úspor energie v TJ]]*Úsporná_opatření[[#This Row],[Emisní koeficient CO2 eq '[kg/GJ']]]</f>
        <v>1312.4519124654553</v>
      </c>
      <c r="S115" s="7">
        <f>VLOOKUP(Úsporná_opatření[[#This Row],[Šetřený nositel energie]] &amp; "#" &amp; Úsporná_opatření[[#This Row],[Nejpodobnější sektor]],Emiskoef,2,FALSE)</f>
        <v>243.30535699975164</v>
      </c>
      <c r="T115" s="7">
        <f>VLOOKUP(Úsporná_opatření[[#This Row],[Šetřený nositel energie]] &amp; "#" &amp; Úsporná_opatření[[#This Row],[Nejpodobnější sektor]],Emiskoef,3,FALSE)</f>
        <v>2.5994178058499644</v>
      </c>
      <c r="U115" s="7">
        <f>VLOOKUP(Úsporná_opatření[[#This Row],[Šetřený nositel energie]] &amp; "#" &amp; Úsporná_opatření[[#This Row],[Nejpodobnější sektor]],Emiskoef,4,FALSE)</f>
        <v>3.4119963077868793</v>
      </c>
      <c r="V11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5" s="4">
        <f>1000*Úsporná_opatření[[#This Row],[Investice '[Kč/GJ']]]/Úsporná_opatření[[#This Row],[Emisní koeficient CO2 eq '[kg/GJ']]]</f>
        <v>13093.979890468505</v>
      </c>
      <c r="X115" s="7" t="s">
        <v>353</v>
      </c>
    </row>
    <row r="116" spans="2:24" x14ac:dyDescent="0.25">
      <c r="B116" s="3" t="s">
        <v>19</v>
      </c>
      <c r="C116" s="3" t="s">
        <v>74</v>
      </c>
      <c r="D116" s="3" t="s">
        <v>163</v>
      </c>
      <c r="E116" s="3" t="str">
        <f>CONCATENATE(Úsporná_opatření[[#This Row],[Sektor]],Úsporná_opatření[[#This Row],[Opatření]])</f>
        <v>DopravaSnížení energetické náročnosti spotřebičů</v>
      </c>
      <c r="F116" s="4">
        <v>4500</v>
      </c>
      <c r="G116" s="11">
        <f>VLOOKUP(Úsporná_opatření[[#This Row],[Opatření podrobně]],Potenciál_opatření!$A$1:$C$191,3,0)</f>
        <v>0.16666666666666663</v>
      </c>
      <c r="H116" s="13">
        <f>Úsporná_opatření[[#This Row],[Potenciál úspor energie v TJ]]*Úsporná_opatření[[#This Row],[Investice '[Kč/GJ']]]*1000</f>
        <v>7920611.3718601642</v>
      </c>
      <c r="I116" s="13">
        <f>Úsporná_opatření[[#This Row],[Podíl dotace '[%']]]*Úsporná_opatření[[#This Row],[Investice]]</f>
        <v>1320101.8953100271</v>
      </c>
      <c r="J116" s="3">
        <v>6</v>
      </c>
      <c r="K116" s="12">
        <f>VLOOKUP(Úsporná_opatření[[#This Row],[Opatření podrobně]],Potenciál_opatření!$A$1:$C$191,2,0)</f>
        <v>1.7601358604133699</v>
      </c>
      <c r="L116" s="3">
        <v>15</v>
      </c>
      <c r="M116" s="3" t="s">
        <v>12</v>
      </c>
      <c r="N116" s="3" t="s">
        <v>19</v>
      </c>
      <c r="O116" s="4">
        <f>Úsporná_opatření[[#This Row],[Potenciál úspor energie v TJ]]*Úsporná_opatření[[#This Row],[Emisní koeficient CO2 '[kg/GJ']]]</f>
        <v>428.25048388593996</v>
      </c>
      <c r="P116" s="4">
        <f>Úsporná_opatření[[#This Row],[Potenciál úspor energie v TJ]]*Úsporná_opatření[[#This Row],[Emisní koeficient CH4 '[g/GJ']]]</f>
        <v>4.5753284962735608</v>
      </c>
      <c r="Q116" s="4">
        <f>Úsporná_opatření[[#This Row],[Potenciál úspor energie v TJ]]*Úsporná_opatření[[#This Row],[Emisní koeficient N2O '[g/GJ']]]</f>
        <v>6.0055770569337001</v>
      </c>
      <c r="R116" s="4">
        <f>Úsporná_opatření[[#This Row],[Potenciál úspor energie v TJ]]*Úsporná_opatření[[#This Row],[Emisní koeficient CO2 eq '[kg/GJ']]]</f>
        <v>430.1545290613131</v>
      </c>
      <c r="S116" s="7">
        <f>VLOOKUP(Úsporná_opatření[[#This Row],[Šetřený nositel energie]] &amp; "#" &amp; Úsporná_opatření[[#This Row],[Nejpodobnější sektor]],Emiskoef,2,FALSE)</f>
        <v>243.30535699975164</v>
      </c>
      <c r="T116" s="7">
        <f>VLOOKUP(Úsporná_opatření[[#This Row],[Šetřený nositel energie]] &amp; "#" &amp; Úsporná_opatření[[#This Row],[Nejpodobnější sektor]],Emiskoef,3,FALSE)</f>
        <v>2.5994178058499644</v>
      </c>
      <c r="U116" s="7">
        <f>VLOOKUP(Úsporná_opatření[[#This Row],[Šetřený nositel energie]] &amp; "#" &amp; Úsporná_opatření[[#This Row],[Nejpodobnější sektor]],Emiskoef,4,FALSE)</f>
        <v>3.4119963077868793</v>
      </c>
      <c r="V11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6" s="4">
        <f>1000*Úsporná_opatření[[#This Row],[Investice '[Kč/GJ']]]/Úsporná_opatření[[#This Row],[Emisní koeficient CO2 eq '[kg/GJ']]]</f>
        <v>18413.409220971334</v>
      </c>
      <c r="X116" s="7" t="s">
        <v>351</v>
      </c>
    </row>
    <row r="117" spans="2:24" x14ac:dyDescent="0.25">
      <c r="B117" s="3" t="s">
        <v>6</v>
      </c>
      <c r="C117" s="3" t="s">
        <v>74</v>
      </c>
      <c r="D117" s="3" t="s">
        <v>213</v>
      </c>
      <c r="E117" s="3" t="str">
        <f>CONCATENATE(Úsporná_opatření[[#This Row],[Sektor]],Úsporná_opatření[[#This Row],[Opatření]])</f>
        <v>SlužbySnížení energetické náročnosti spotřebičů</v>
      </c>
      <c r="F117" s="4">
        <v>9750</v>
      </c>
      <c r="G117" s="11">
        <f>VLOOKUP(Úsporná_opatření[[#This Row],[Opatření podrobně]],Potenciál_opatření!$A$1:$C$191,3,0)</f>
        <v>0.16666666666666663</v>
      </c>
      <c r="H117" s="13">
        <f>Úsporná_opatření[[#This Row],[Potenciál úspor energie v TJ]]*Úsporná_opatření[[#This Row],[Investice '[Kč/GJ']]]*1000</f>
        <v>2215773854.9132409</v>
      </c>
      <c r="I117" s="13">
        <f>Úsporná_opatření[[#This Row],[Podíl dotace '[%']]]*Úsporná_opatření[[#This Row],[Investice]]</f>
        <v>369295642.48554009</v>
      </c>
      <c r="J117" s="3">
        <v>6</v>
      </c>
      <c r="K117" s="12">
        <f>VLOOKUP(Úsporná_opatření[[#This Row],[Opatření podrobně]],Potenciál_opatření!$A$1:$C$191,2,0)</f>
        <v>227.25885691417855</v>
      </c>
      <c r="L117" s="3">
        <v>15</v>
      </c>
      <c r="M117" s="3" t="s">
        <v>12</v>
      </c>
      <c r="N117" s="3" t="s">
        <v>6</v>
      </c>
      <c r="O117" s="4">
        <f>Úsporná_opatření[[#This Row],[Potenciál úspor energie v TJ]]*Úsporná_opatření[[#This Row],[Emisní koeficient CO2 '[kg/GJ']]]</f>
        <v>55293.297312859686</v>
      </c>
      <c r="P117" s="4">
        <f>Úsporná_opatření[[#This Row],[Potenciál úspor energie v TJ]]*Úsporná_opatření[[#This Row],[Emisní koeficient CH4 '[g/GJ']]]</f>
        <v>590.74071919982498</v>
      </c>
      <c r="Q117" s="4">
        <f>Úsporná_opatření[[#This Row],[Potenciál úspor energie v TJ]]*Úsporná_opatření[[#This Row],[Emisní koeficient N2O '[g/GJ']]]</f>
        <v>775.40638070304396</v>
      </c>
      <c r="R117" s="4">
        <f>Úsporná_opatření[[#This Row],[Potenciál úspor energie v TJ]]*Úsporná_opatření[[#This Row],[Emisní koeficient CO2 eq '[kg/GJ']]]</f>
        <v>55539.136932289191</v>
      </c>
      <c r="S117" s="7">
        <f>VLOOKUP(Úsporná_opatření[[#This Row],[Šetřený nositel energie]] &amp; "#" &amp; Úsporná_opatření[[#This Row],[Nejpodobnější sektor]],Emiskoef,2,FALSE)</f>
        <v>243.30535699975164</v>
      </c>
      <c r="T117" s="7">
        <f>VLOOKUP(Úsporná_opatření[[#This Row],[Šetřený nositel energie]] &amp; "#" &amp; Úsporná_opatření[[#This Row],[Nejpodobnější sektor]],Emiskoef,3,FALSE)</f>
        <v>2.5994178058499644</v>
      </c>
      <c r="U117" s="7">
        <f>VLOOKUP(Úsporná_opatření[[#This Row],[Šetřený nositel energie]] &amp; "#" &amp; Úsporná_opatření[[#This Row],[Nejpodobnější sektor]],Emiskoef,4,FALSE)</f>
        <v>3.4119963077868793</v>
      </c>
      <c r="V11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7" s="4">
        <f>1000*Úsporná_opatření[[#This Row],[Investice '[Kč/GJ']]]/Úsporná_opatření[[#This Row],[Emisní koeficient CO2 eq '[kg/GJ']]]</f>
        <v>39895.719978771223</v>
      </c>
      <c r="X117" s="7" t="s">
        <v>351</v>
      </c>
    </row>
    <row r="118" spans="2:24" x14ac:dyDescent="0.25">
      <c r="B118" s="3" t="s">
        <v>311</v>
      </c>
      <c r="C118" s="3" t="s">
        <v>74</v>
      </c>
      <c r="D118" s="3" t="s">
        <v>214</v>
      </c>
      <c r="E118" s="3" t="str">
        <f>CONCATENATE(Úsporná_opatření[[#This Row],[Sektor]],Úsporná_opatření[[#This Row],[Opatření]])</f>
        <v>veřejná správaSnížení energetické náročnosti spotřebičů</v>
      </c>
      <c r="F118" s="4">
        <v>9750</v>
      </c>
      <c r="G118" s="11">
        <f>VLOOKUP(Úsporná_opatření[[#This Row],[Opatření podrobně]],Potenciál_opatření!$A$1:$C$191,3,0)</f>
        <v>0</v>
      </c>
      <c r="H118" s="13">
        <f>Úsporná_opatření[[#This Row],[Potenciál úspor energie v TJ]]*Úsporná_opatření[[#This Row],[Investice '[Kč/GJ']]]*1000</f>
        <v>1750171831.3463638</v>
      </c>
      <c r="I118" s="13">
        <f>Úsporná_opatření[[#This Row],[Podíl dotace '[%']]]*Úsporná_opatření[[#This Row],[Investice]]</f>
        <v>0</v>
      </c>
      <c r="J118" s="3">
        <v>6</v>
      </c>
      <c r="K118" s="12">
        <f>VLOOKUP(Úsporná_opatření[[#This Row],[Opatření podrobně]],Potenciál_opatření!$A$1:$C$191,2,0)</f>
        <v>179.50480321501166</v>
      </c>
      <c r="L118" s="3">
        <v>15</v>
      </c>
      <c r="M118" s="3" t="s">
        <v>12</v>
      </c>
      <c r="N118" s="3" t="s">
        <v>8</v>
      </c>
      <c r="O118" s="4">
        <f>Úsporná_opatření[[#This Row],[Potenciál úspor energie v TJ]]*Úsporná_opatření[[#This Row],[Emisní koeficient CO2 '[kg/GJ']]]</f>
        <v>43674.480229398578</v>
      </c>
      <c r="P118" s="4">
        <f>Úsporná_opatření[[#This Row],[Potenciál úspor energie v TJ]]*Úsporná_opatření[[#This Row],[Emisní koeficient CH4 '[g/GJ']]]</f>
        <v>466.60798171269528</v>
      </c>
      <c r="Q118" s="4">
        <f>Úsporná_opatření[[#This Row],[Potenciál úspor energie v TJ]]*Úsporná_opatření[[#This Row],[Emisní koeficient N2O '[g/GJ']]]</f>
        <v>612.46972579963017</v>
      </c>
      <c r="R118" s="4">
        <f>Úsporná_opatření[[#This Row],[Potenciál úspor energie v TJ]]*Úsporná_opatření[[#This Row],[Emisní koeficient CO2 eq '[kg/GJ']]]</f>
        <v>43868.661407229687</v>
      </c>
      <c r="S118" s="7">
        <f>VLOOKUP(Úsporná_opatření[[#This Row],[Šetřený nositel energie]] &amp; "#" &amp; Úsporná_opatření[[#This Row],[Nejpodobnější sektor]],Emiskoef,2,FALSE)</f>
        <v>243.30535699975164</v>
      </c>
      <c r="T118" s="7">
        <f>VLOOKUP(Úsporná_opatření[[#This Row],[Šetřený nositel energie]] &amp; "#" &amp; Úsporná_opatření[[#This Row],[Nejpodobnější sektor]],Emiskoef,3,FALSE)</f>
        <v>2.5994178058499644</v>
      </c>
      <c r="U118" s="7">
        <f>VLOOKUP(Úsporná_opatření[[#This Row],[Šetřený nositel energie]] &amp; "#" &amp; Úsporná_opatření[[#This Row],[Nejpodobnější sektor]],Emiskoef,4,FALSE)</f>
        <v>3.4119963077868793</v>
      </c>
      <c r="V11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8" s="4">
        <f>1000*Úsporná_opatření[[#This Row],[Investice '[Kč/GJ']]]/Úsporná_opatření[[#This Row],[Emisní koeficient CO2 eq '[kg/GJ']]]</f>
        <v>39895.719978771223</v>
      </c>
      <c r="X118" s="7" t="s">
        <v>351</v>
      </c>
    </row>
    <row r="119" spans="2:24" x14ac:dyDescent="0.25">
      <c r="B119" s="3" t="s">
        <v>7</v>
      </c>
      <c r="C119" s="3" t="s">
        <v>74</v>
      </c>
      <c r="D119" s="3" t="s">
        <v>229</v>
      </c>
      <c r="E119" s="3" t="str">
        <f>CONCATENATE(Úsporná_opatření[[#This Row],[Sektor]],Úsporná_opatření[[#This Row],[Opatření]])</f>
        <v>DomácnostiSnížení energetické náročnosti spotřebičů</v>
      </c>
      <c r="F119" s="4">
        <v>11700</v>
      </c>
      <c r="G119" s="11">
        <f>VLOOKUP(Úsporná_opatření[[#This Row],[Opatření podrobně]],Potenciál_opatření!$A$1:$C$191,3,0)</f>
        <v>0</v>
      </c>
      <c r="H119" s="13">
        <f>Úsporná_opatření[[#This Row],[Potenciál úspor energie v TJ]]*Úsporná_opatření[[#This Row],[Investice '[Kč/GJ']]]*1000</f>
        <v>4168855465.3875294</v>
      </c>
      <c r="I119" s="13">
        <f>Úsporná_opatření[[#This Row],[Podíl dotace '[%']]]*Úsporná_opatření[[#This Row],[Investice]]</f>
        <v>0</v>
      </c>
      <c r="J119" s="3">
        <v>6</v>
      </c>
      <c r="K119" s="12">
        <f>VLOOKUP(Úsporná_opatření[[#This Row],[Opatření podrobně]],Potenciál_opatření!$A$1:$C$191,2,0)</f>
        <v>356.31243293910507</v>
      </c>
      <c r="L119" s="3">
        <v>15</v>
      </c>
      <c r="M119" s="3" t="s">
        <v>12</v>
      </c>
      <c r="N119" s="3" t="s">
        <v>7</v>
      </c>
      <c r="O119" s="4">
        <f>Úsporná_opatření[[#This Row],[Potenciál úspor energie v TJ]]*Úsporná_opatření[[#This Row],[Emisní koeficient CO2 '[kg/GJ']]]</f>
        <v>86692.723699699025</v>
      </c>
      <c r="P119" s="4">
        <f>Úsporná_opatření[[#This Row],[Potenciál úspor energie v TJ]]*Úsporná_opatření[[#This Row],[Emisní koeficient CH4 '[g/GJ']]]</f>
        <v>926.20488262763104</v>
      </c>
      <c r="Q119" s="4">
        <f>Úsporná_opatření[[#This Row],[Potenciál úspor energie v TJ]]*Úsporná_opatření[[#This Row],[Emisní koeficient N2O '[g/GJ']]]</f>
        <v>1215.7367056067865</v>
      </c>
      <c r="R119" s="4">
        <f>Úsporná_opatření[[#This Row],[Potenciál úspor energie v TJ]]*Úsporná_opatření[[#This Row],[Emisní koeficient CO2 eq '[kg/GJ']]]</f>
        <v>87078.168360035546</v>
      </c>
      <c r="S119" s="7">
        <f>VLOOKUP(Úsporná_opatření[[#This Row],[Šetřený nositel energie]] &amp; "#" &amp; Úsporná_opatření[[#This Row],[Nejpodobnější sektor]],Emiskoef,2,FALSE)</f>
        <v>243.30535699975164</v>
      </c>
      <c r="T119" s="7">
        <f>VLOOKUP(Úsporná_opatření[[#This Row],[Šetřený nositel energie]] &amp; "#" &amp; Úsporná_opatření[[#This Row],[Nejpodobnější sektor]],Emiskoef,3,FALSE)</f>
        <v>2.5994178058499644</v>
      </c>
      <c r="U119" s="7">
        <f>VLOOKUP(Úsporná_opatření[[#This Row],[Šetřený nositel energie]] &amp; "#" &amp; Úsporná_opatření[[#This Row],[Nejpodobnější sektor]],Emiskoef,4,FALSE)</f>
        <v>3.4119963077868793</v>
      </c>
      <c r="V11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9" s="4">
        <f>1000*Úsporná_opatření[[#This Row],[Investice '[Kč/GJ']]]/Úsporná_opatření[[#This Row],[Emisní koeficient CO2 eq '[kg/GJ']]]</f>
        <v>47874.86397452547</v>
      </c>
      <c r="X119" s="7" t="s">
        <v>351</v>
      </c>
    </row>
    <row r="120" spans="2:24" x14ac:dyDescent="0.25">
      <c r="B120" s="3" t="s">
        <v>6</v>
      </c>
      <c r="C120" s="3" t="s">
        <v>74</v>
      </c>
      <c r="D120" s="3" t="s">
        <v>242</v>
      </c>
      <c r="E120" s="3" t="str">
        <f>CONCATENATE(Úsporná_opatření[[#This Row],[Sektor]],Úsporná_opatření[[#This Row],[Opatření]])</f>
        <v>SlužbySnížení energetické náročnosti spotřebičů</v>
      </c>
      <c r="F120" s="4">
        <v>13500</v>
      </c>
      <c r="G120" s="11">
        <f>VLOOKUP(Úsporná_opatření[[#This Row],[Opatření podrobně]],Potenciál_opatření!$A$1:$C$191,3,0)</f>
        <v>0.66666666666666674</v>
      </c>
      <c r="H120" s="13">
        <f>Úsporná_opatření[[#This Row],[Potenciál úspor energie v TJ]]*Úsporná_opatření[[#This Row],[Investice '[Kč/GJ']]]*1000</f>
        <v>14317307985.593248</v>
      </c>
      <c r="I120" s="13">
        <f>Úsporná_opatření[[#This Row],[Podíl dotace '[%']]]*Úsporná_opatření[[#This Row],[Investice]]</f>
        <v>9544871990.3955002</v>
      </c>
      <c r="J120" s="3">
        <v>15</v>
      </c>
      <c r="K120" s="12">
        <f>VLOOKUP(Úsporná_opatření[[#This Row],[Opatření podrobně]],Potenciál_opatření!$A$1:$C$191,2,0)</f>
        <v>1060.5413322661666</v>
      </c>
      <c r="L120" s="3">
        <v>15</v>
      </c>
      <c r="M120" s="3" t="s">
        <v>12</v>
      </c>
      <c r="N120" s="3" t="s">
        <v>6</v>
      </c>
      <c r="O120" s="4">
        <f>Úsporná_opatření[[#This Row],[Potenciál úspor energie v TJ]]*Úsporná_opatření[[#This Row],[Emisní koeficient CO2 '[kg/GJ']]]</f>
        <v>258035.38746001187</v>
      </c>
      <c r="P120" s="4">
        <f>Úsporná_opatření[[#This Row],[Potenciál úspor energie v TJ]]*Úsporná_opatření[[#This Row],[Emisní koeficient CH4 '[g/GJ']]]</f>
        <v>2756.7900229325169</v>
      </c>
      <c r="Q120" s="4">
        <f>Úsporná_opatření[[#This Row],[Potenciál úspor energie v TJ]]*Úsporná_opatření[[#This Row],[Emisní koeficient N2O '[g/GJ']]]</f>
        <v>3618.5631099475386</v>
      </c>
      <c r="R120" s="4">
        <f>Úsporná_opatření[[#This Row],[Potenciál úspor energie v TJ]]*Úsporná_opatření[[#This Row],[Emisní koeficient CO2 eq '[kg/GJ']]]</f>
        <v>259182.63901734957</v>
      </c>
      <c r="S120" s="7">
        <f>VLOOKUP(Úsporná_opatření[[#This Row],[Šetřený nositel energie]] &amp; "#" &amp; Úsporná_opatření[[#This Row],[Nejpodobnější sektor]],Emiskoef,2,FALSE)</f>
        <v>243.30535699975164</v>
      </c>
      <c r="T120" s="7">
        <f>VLOOKUP(Úsporná_opatření[[#This Row],[Šetřený nositel energie]] &amp; "#" &amp; Úsporná_opatření[[#This Row],[Nejpodobnější sektor]],Emiskoef,3,FALSE)</f>
        <v>2.5994178058499644</v>
      </c>
      <c r="U120" s="7">
        <f>VLOOKUP(Úsporná_opatření[[#This Row],[Šetřený nositel energie]] &amp; "#" &amp; Úsporná_opatření[[#This Row],[Nejpodobnější sektor]],Emiskoef,4,FALSE)</f>
        <v>3.4119963077868793</v>
      </c>
      <c r="V12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0" s="4">
        <f>1000*Úsporná_opatření[[#This Row],[Investice '[Kč/GJ']]]/Úsporná_opatření[[#This Row],[Emisní koeficient CO2 eq '[kg/GJ']]]</f>
        <v>55240.227662914003</v>
      </c>
      <c r="X120" s="7" t="s">
        <v>352</v>
      </c>
    </row>
    <row r="121" spans="2:24" x14ac:dyDescent="0.25">
      <c r="B121" s="3" t="s">
        <v>311</v>
      </c>
      <c r="C121" s="3" t="s">
        <v>74</v>
      </c>
      <c r="D121" s="3" t="s">
        <v>243</v>
      </c>
      <c r="E121" s="3" t="str">
        <f>CONCATENATE(Úsporná_opatření[[#This Row],[Sektor]],Úsporná_opatření[[#This Row],[Opatření]])</f>
        <v>veřejná správaSnížení energetické náročnosti spotřebičů</v>
      </c>
      <c r="F121" s="4">
        <v>13500</v>
      </c>
      <c r="G121" s="11">
        <f>VLOOKUP(Úsporná_opatření[[#This Row],[Opatření podrobně]],Potenciál_opatření!$A$1:$C$191,3,0)</f>
        <v>0.19999999999999996</v>
      </c>
      <c r="H121" s="13">
        <f>Úsporná_opatření[[#This Row],[Potenciál úspor energie v TJ]]*Úsporná_opatření[[#This Row],[Investice '[Kč/GJ']]]*1000</f>
        <v>11308802602.545732</v>
      </c>
      <c r="I121" s="13">
        <f>Úsporná_opatření[[#This Row],[Podíl dotace '[%']]]*Úsporná_opatření[[#This Row],[Investice]]</f>
        <v>2261760520.5091462</v>
      </c>
      <c r="J121" s="3">
        <v>15</v>
      </c>
      <c r="K121" s="12">
        <f>VLOOKUP(Úsporná_opatření[[#This Row],[Opatření podrobně]],Potenciál_opatření!$A$1:$C$191,2,0)</f>
        <v>837.68908167005429</v>
      </c>
      <c r="L121" s="3">
        <v>15</v>
      </c>
      <c r="M121" s="3" t="s">
        <v>12</v>
      </c>
      <c r="N121" s="3" t="s">
        <v>8</v>
      </c>
      <c r="O121" s="4">
        <f>Úsporná_opatření[[#This Row],[Potenciál úspor energie v TJ]]*Úsporná_opatření[[#This Row],[Emisní koeficient CO2 '[kg/GJ']]]</f>
        <v>203814.24107052665</v>
      </c>
      <c r="P121" s="4">
        <f>Úsporná_opatření[[#This Row],[Potenciál úspor energie v TJ]]*Úsporná_opatření[[#This Row],[Emisní koeficient CH4 '[g/GJ']]]</f>
        <v>2177.5039146592439</v>
      </c>
      <c r="Q121" s="4">
        <f>Úsporná_opatření[[#This Row],[Potenciál úspor energie v TJ]]*Úsporná_opatření[[#This Row],[Emisní koeficient N2O '[g/GJ']]]</f>
        <v>2858.1920537316068</v>
      </c>
      <c r="R121" s="4">
        <f>Úsporná_opatření[[#This Row],[Potenciál úspor energie v TJ]]*Úsporná_opatření[[#This Row],[Emisní koeficient CO2 eq '[kg/GJ']]]</f>
        <v>204720.41990040516</v>
      </c>
      <c r="S121" s="7">
        <f>VLOOKUP(Úsporná_opatření[[#This Row],[Šetřený nositel energie]] &amp; "#" &amp; Úsporná_opatření[[#This Row],[Nejpodobnější sektor]],Emiskoef,2,FALSE)</f>
        <v>243.30535699975164</v>
      </c>
      <c r="T121" s="7">
        <f>VLOOKUP(Úsporná_opatření[[#This Row],[Šetřený nositel energie]] &amp; "#" &amp; Úsporná_opatření[[#This Row],[Nejpodobnější sektor]],Emiskoef,3,FALSE)</f>
        <v>2.5994178058499644</v>
      </c>
      <c r="U121" s="7">
        <f>VLOOKUP(Úsporná_opatření[[#This Row],[Šetřený nositel energie]] &amp; "#" &amp; Úsporná_opatření[[#This Row],[Nejpodobnější sektor]],Emiskoef,4,FALSE)</f>
        <v>3.4119963077868793</v>
      </c>
      <c r="V12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1" s="4">
        <f>1000*Úsporná_opatření[[#This Row],[Investice '[Kč/GJ']]]/Úsporná_opatření[[#This Row],[Emisní koeficient CO2 eq '[kg/GJ']]]</f>
        <v>55240.227662914003</v>
      </c>
      <c r="X121" s="7" t="s">
        <v>352</v>
      </c>
    </row>
    <row r="122" spans="2:24" x14ac:dyDescent="0.25">
      <c r="B122" s="3" t="s">
        <v>19</v>
      </c>
      <c r="C122" s="3" t="s">
        <v>74</v>
      </c>
      <c r="D122" s="3" t="s">
        <v>244</v>
      </c>
      <c r="E122" s="3" t="str">
        <f>CONCATENATE(Úsporná_opatření[[#This Row],[Sektor]],Úsporná_opatření[[#This Row],[Opatření]])</f>
        <v>DopravaSnížení energetické náročnosti spotřebičů</v>
      </c>
      <c r="F122" s="4">
        <v>13500</v>
      </c>
      <c r="G122" s="11">
        <f>VLOOKUP(Úsporná_opatření[[#This Row],[Opatření podrobně]],Potenciál_opatření!$A$1:$C$191,3,0)</f>
        <v>0.66666666666666674</v>
      </c>
      <c r="H122" s="13">
        <f>Úsporná_opatření[[#This Row],[Potenciál úspor energie v TJ]]*Úsporná_opatření[[#This Row],[Investice '[Kč/GJ']]]*1000</f>
        <v>110888559.2060423</v>
      </c>
      <c r="I122" s="13">
        <f>Úsporná_opatření[[#This Row],[Podíl dotace '[%']]]*Úsporná_opatření[[#This Row],[Investice]]</f>
        <v>73925706.137361541</v>
      </c>
      <c r="J122" s="3">
        <v>15</v>
      </c>
      <c r="K122" s="12">
        <f>VLOOKUP(Úsporná_opatření[[#This Row],[Opatření podrobně]],Potenciál_opatření!$A$1:$C$191,2,0)</f>
        <v>8.2139673485957267</v>
      </c>
      <c r="L122" s="3">
        <v>15</v>
      </c>
      <c r="M122" s="3" t="s">
        <v>12</v>
      </c>
      <c r="N122" s="3" t="s">
        <v>283</v>
      </c>
      <c r="O122" s="4">
        <f>Úsporná_opatření[[#This Row],[Potenciál úspor energie v TJ]]*Úsporná_opatření[[#This Row],[Emisní koeficient CO2 '[kg/GJ']]]</f>
        <v>1998.5022581343867</v>
      </c>
      <c r="P122" s="4">
        <f>Úsporná_opatření[[#This Row],[Potenciál úspor energie v TJ]]*Úsporná_opatření[[#This Row],[Emisní koeficient CH4 '[g/GJ']]]</f>
        <v>21.351532982609953</v>
      </c>
      <c r="Q122" s="4">
        <f>Úsporná_opatření[[#This Row],[Potenciál úspor energie v TJ]]*Úsporná_opatření[[#This Row],[Emisní koeficient N2O '[g/GJ']]]</f>
        <v>28.026026265690604</v>
      </c>
      <c r="R122" s="4">
        <f>Úsporná_opatření[[#This Row],[Potenciál úspor energie v TJ]]*Úsporná_opatření[[#This Row],[Emisní koeficient CO2 eq '[kg/GJ']]]</f>
        <v>2007.3878022861279</v>
      </c>
      <c r="S122" s="7">
        <f>VLOOKUP(Úsporná_opatření[[#This Row],[Šetřený nositel energie]] &amp; "#" &amp; Úsporná_opatření[[#This Row],[Nejpodobnější sektor]],Emiskoef,2,FALSE)</f>
        <v>243.30535699975164</v>
      </c>
      <c r="T122" s="7">
        <f>VLOOKUP(Úsporná_opatření[[#This Row],[Šetřený nositel energie]] &amp; "#" &amp; Úsporná_opatření[[#This Row],[Nejpodobnější sektor]],Emiskoef,3,FALSE)</f>
        <v>2.5994178058499644</v>
      </c>
      <c r="U122" s="7">
        <f>VLOOKUP(Úsporná_opatření[[#This Row],[Šetřený nositel energie]] &amp; "#" &amp; Úsporná_opatření[[#This Row],[Nejpodobnější sektor]],Emiskoef,4,FALSE)</f>
        <v>3.4119963077868793</v>
      </c>
      <c r="V12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2" s="4">
        <f>1000*Úsporná_opatření[[#This Row],[Investice '[Kč/GJ']]]/Úsporná_opatření[[#This Row],[Emisní koeficient CO2 eq '[kg/GJ']]]</f>
        <v>55240.227662914003</v>
      </c>
      <c r="X122" s="7" t="s">
        <v>352</v>
      </c>
    </row>
    <row r="123" spans="2:24" x14ac:dyDescent="0.25">
      <c r="B123" s="3" t="s">
        <v>7</v>
      </c>
      <c r="C123" s="3" t="s">
        <v>74</v>
      </c>
      <c r="D123" s="3" t="s">
        <v>261</v>
      </c>
      <c r="E123" s="3" t="str">
        <f>CONCATENATE(Úsporná_opatření[[#This Row],[Sektor]],Úsporná_opatření[[#This Row],[Opatření]])</f>
        <v>DomácnostiSnížení energetické náročnosti spotřebičů</v>
      </c>
      <c r="F123" s="4">
        <v>16500</v>
      </c>
      <c r="G123" s="11">
        <f>VLOOKUP(Úsporná_opatření[[#This Row],[Opatření podrobně]],Potenciál_opatření!$A$1:$C$191,3,0)</f>
        <v>0.19999999999999996</v>
      </c>
      <c r="H123" s="13">
        <f>Úsporná_opatření[[#This Row],[Potenciál úspor energie v TJ]]*Úsporná_opatření[[#This Row],[Investice '[Kč/GJ']]]*1000</f>
        <v>27436057336.311085</v>
      </c>
      <c r="I123" s="13">
        <f>Úsporná_opatření[[#This Row],[Podíl dotace '[%']]]*Úsporná_opatření[[#This Row],[Investice]]</f>
        <v>5487211467.2622156</v>
      </c>
      <c r="J123" s="3">
        <v>15</v>
      </c>
      <c r="K123" s="12">
        <f>VLOOKUP(Úsporná_opatření[[#This Row],[Opatření podrobně]],Potenciál_opatření!$A$1:$C$191,2,0)</f>
        <v>1662.7913537158233</v>
      </c>
      <c r="L123" s="3">
        <v>15</v>
      </c>
      <c r="M123" s="3" t="s">
        <v>12</v>
      </c>
      <c r="N123" s="3" t="s">
        <v>7</v>
      </c>
      <c r="O123" s="4">
        <f>Úsporná_opatření[[#This Row],[Potenciál úspor energie v TJ]]*Úsporná_opatření[[#This Row],[Emisní koeficient CO2 '[kg/GJ']]]</f>
        <v>404566.0439319287</v>
      </c>
      <c r="P123" s="4">
        <f>Úsporná_opatření[[#This Row],[Potenciál úspor energie v TJ]]*Úsporná_opatření[[#This Row],[Emisní koeficient CH4 '[g/GJ']]]</f>
        <v>4322.2894522622773</v>
      </c>
      <c r="Q123" s="4">
        <f>Úsporná_opatření[[#This Row],[Potenciál úspor energie v TJ]]*Úsporná_opatření[[#This Row],[Emisní koeficient N2O '[g/GJ']]]</f>
        <v>5673.4379594983366</v>
      </c>
      <c r="R123" s="4">
        <f>Úsporná_opatření[[#This Row],[Potenciál úspor energie v TJ]]*Úsporná_opatření[[#This Row],[Emisní koeficient CO2 eq '[kg/GJ']]]</f>
        <v>406364.78568016581</v>
      </c>
      <c r="S123" s="7">
        <f>VLOOKUP(Úsporná_opatření[[#This Row],[Šetřený nositel energie]] &amp; "#" &amp; Úsporná_opatření[[#This Row],[Nejpodobnější sektor]],Emiskoef,2,FALSE)</f>
        <v>243.30535699975164</v>
      </c>
      <c r="T123" s="7">
        <f>VLOOKUP(Úsporná_opatření[[#This Row],[Šetřený nositel energie]] &amp; "#" &amp; Úsporná_opatření[[#This Row],[Nejpodobnější sektor]],Emiskoef,3,FALSE)</f>
        <v>2.5994178058499644</v>
      </c>
      <c r="U123" s="7">
        <f>VLOOKUP(Úsporná_opatření[[#This Row],[Šetřený nositel energie]] &amp; "#" &amp; Úsporná_opatření[[#This Row],[Nejpodobnější sektor]],Emiskoef,4,FALSE)</f>
        <v>3.4119963077868793</v>
      </c>
      <c r="V12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3" s="4">
        <f>1000*Úsporná_opatření[[#This Row],[Investice '[Kč/GJ']]]/Úsporná_opatření[[#This Row],[Emisní koeficient CO2 eq '[kg/GJ']]]</f>
        <v>67515.833810228229</v>
      </c>
      <c r="X123" s="7" t="s">
        <v>352</v>
      </c>
    </row>
    <row r="124" spans="2:24" x14ac:dyDescent="0.25">
      <c r="B124" s="3" t="s">
        <v>6</v>
      </c>
      <c r="C124" s="3" t="s">
        <v>74</v>
      </c>
      <c r="D124" s="3" t="s">
        <v>267</v>
      </c>
      <c r="E124" s="3" t="str">
        <f>CONCATENATE(Úsporná_opatření[[#This Row],[Sektor]],Úsporná_opatření[[#This Row],[Opatření]])</f>
        <v>SlužbySnížení energetické náročnosti spotřebičů</v>
      </c>
      <c r="F124" s="4">
        <v>18000</v>
      </c>
      <c r="G124" s="11">
        <f>VLOOKUP(Úsporná_opatření[[#This Row],[Opatření podrobně]],Potenciál_opatření!$A$1:$C$191,3,0)</f>
        <v>0.8</v>
      </c>
      <c r="H124" s="13">
        <f>Úsporná_opatření[[#This Row],[Potenciál úspor energie v TJ]]*Úsporná_opatření[[#This Row],[Investice '[Kč/GJ']]]*1000</f>
        <v>4090659424.455214</v>
      </c>
      <c r="I124" s="13">
        <f>Úsporná_opatření[[#This Row],[Podíl dotace '[%']]]*Úsporná_opatření[[#This Row],[Investice]]</f>
        <v>3272527539.5641713</v>
      </c>
      <c r="J124" s="3">
        <v>25</v>
      </c>
      <c r="K124" s="12">
        <f>VLOOKUP(Úsporná_opatření[[#This Row],[Opatření podrobně]],Potenciál_opatření!$A$1:$C$191,2,0)</f>
        <v>227.25885691417855</v>
      </c>
      <c r="L124" s="3">
        <v>15</v>
      </c>
      <c r="M124" s="3" t="s">
        <v>12</v>
      </c>
      <c r="N124" s="3" t="s">
        <v>6</v>
      </c>
      <c r="O124" s="4">
        <f>Úsporná_opatření[[#This Row],[Potenciál úspor energie v TJ]]*Úsporná_opatření[[#This Row],[Emisní koeficient CO2 '[kg/GJ']]]</f>
        <v>55293.297312859686</v>
      </c>
      <c r="P124" s="4">
        <f>Úsporná_opatření[[#This Row],[Potenciál úspor energie v TJ]]*Úsporná_opatření[[#This Row],[Emisní koeficient CH4 '[g/GJ']]]</f>
        <v>590.74071919982498</v>
      </c>
      <c r="Q124" s="4">
        <f>Úsporná_opatření[[#This Row],[Potenciál úspor energie v TJ]]*Úsporná_opatření[[#This Row],[Emisní koeficient N2O '[g/GJ']]]</f>
        <v>775.40638070304396</v>
      </c>
      <c r="R124" s="4">
        <f>Úsporná_opatření[[#This Row],[Potenciál úspor energie v TJ]]*Úsporná_opatření[[#This Row],[Emisní koeficient CO2 eq '[kg/GJ']]]</f>
        <v>55539.136932289191</v>
      </c>
      <c r="S124" s="7">
        <f>VLOOKUP(Úsporná_opatření[[#This Row],[Šetřený nositel energie]] &amp; "#" &amp; Úsporná_opatření[[#This Row],[Nejpodobnější sektor]],Emiskoef,2,FALSE)</f>
        <v>243.30535699975164</v>
      </c>
      <c r="T124" s="7">
        <f>VLOOKUP(Úsporná_opatření[[#This Row],[Šetřený nositel energie]] &amp; "#" &amp; Úsporná_opatření[[#This Row],[Nejpodobnější sektor]],Emiskoef,3,FALSE)</f>
        <v>2.5994178058499644</v>
      </c>
      <c r="U124" s="7">
        <f>VLOOKUP(Úsporná_opatření[[#This Row],[Šetřený nositel energie]] &amp; "#" &amp; Úsporná_opatření[[#This Row],[Nejpodobnější sektor]],Emiskoef,4,FALSE)</f>
        <v>3.4119963077868793</v>
      </c>
      <c r="V12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4" s="4">
        <f>1000*Úsporná_opatření[[#This Row],[Investice '[Kč/GJ']]]/Úsporná_opatření[[#This Row],[Emisní koeficient CO2 eq '[kg/GJ']]]</f>
        <v>73653.636883885338</v>
      </c>
      <c r="X124" s="7" t="s">
        <v>353</v>
      </c>
    </row>
    <row r="125" spans="2:24" x14ac:dyDescent="0.25">
      <c r="B125" s="3" t="s">
        <v>311</v>
      </c>
      <c r="C125" s="3" t="s">
        <v>74</v>
      </c>
      <c r="D125" s="3" t="s">
        <v>268</v>
      </c>
      <c r="E125" s="3" t="str">
        <f>CONCATENATE(Úsporná_opatření[[#This Row],[Sektor]],Úsporná_opatření[[#This Row],[Opatření]])</f>
        <v>veřejná správaSnížení energetické náročnosti spotřebičů</v>
      </c>
      <c r="F125" s="4">
        <v>18000</v>
      </c>
      <c r="G125" s="11">
        <f>VLOOKUP(Úsporná_opatření[[#This Row],[Opatření podrobně]],Potenciál_opatření!$A$1:$C$191,3,0)</f>
        <v>0.52</v>
      </c>
      <c r="H125" s="13">
        <f>Úsporná_opatření[[#This Row],[Potenciál úspor energie v TJ]]*Úsporná_opatření[[#This Row],[Investice '[Kč/GJ']]]*1000</f>
        <v>3231086457.8702102</v>
      </c>
      <c r="I125" s="13">
        <f>Úsporná_opatření[[#This Row],[Podíl dotace '[%']]]*Úsporná_opatření[[#This Row],[Investice]]</f>
        <v>1680164958.0925093</v>
      </c>
      <c r="J125" s="3">
        <v>25</v>
      </c>
      <c r="K125" s="12">
        <f>VLOOKUP(Úsporná_opatření[[#This Row],[Opatření podrobně]],Potenciál_opatření!$A$1:$C$191,2,0)</f>
        <v>179.50480321501166</v>
      </c>
      <c r="L125" s="3">
        <v>15</v>
      </c>
      <c r="M125" s="3" t="s">
        <v>12</v>
      </c>
      <c r="N125" s="3" t="s">
        <v>8</v>
      </c>
      <c r="O125" s="4">
        <f>Úsporná_opatření[[#This Row],[Potenciál úspor energie v TJ]]*Úsporná_opatření[[#This Row],[Emisní koeficient CO2 '[kg/GJ']]]</f>
        <v>43674.480229398578</v>
      </c>
      <c r="P125" s="4">
        <f>Úsporná_opatření[[#This Row],[Potenciál úspor energie v TJ]]*Úsporná_opatření[[#This Row],[Emisní koeficient CH4 '[g/GJ']]]</f>
        <v>466.60798171269528</v>
      </c>
      <c r="Q125" s="4">
        <f>Úsporná_opatření[[#This Row],[Potenciál úspor energie v TJ]]*Úsporná_opatření[[#This Row],[Emisní koeficient N2O '[g/GJ']]]</f>
        <v>612.46972579963017</v>
      </c>
      <c r="R125" s="4">
        <f>Úsporná_opatření[[#This Row],[Potenciál úspor energie v TJ]]*Úsporná_opatření[[#This Row],[Emisní koeficient CO2 eq '[kg/GJ']]]</f>
        <v>43868.661407229687</v>
      </c>
      <c r="S125" s="7">
        <f>VLOOKUP(Úsporná_opatření[[#This Row],[Šetřený nositel energie]] &amp; "#" &amp; Úsporná_opatření[[#This Row],[Nejpodobnější sektor]],Emiskoef,2,FALSE)</f>
        <v>243.30535699975164</v>
      </c>
      <c r="T125" s="7">
        <f>VLOOKUP(Úsporná_opatření[[#This Row],[Šetřený nositel energie]] &amp; "#" &amp; Úsporná_opatření[[#This Row],[Nejpodobnější sektor]],Emiskoef,3,FALSE)</f>
        <v>2.5994178058499644</v>
      </c>
      <c r="U125" s="7">
        <f>VLOOKUP(Úsporná_opatření[[#This Row],[Šetřený nositel energie]] &amp; "#" &amp; Úsporná_opatření[[#This Row],[Nejpodobnější sektor]],Emiskoef,4,FALSE)</f>
        <v>3.4119963077868793</v>
      </c>
      <c r="V12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5" s="4">
        <f>1000*Úsporná_opatření[[#This Row],[Investice '[Kč/GJ']]]/Úsporná_opatření[[#This Row],[Emisní koeficient CO2 eq '[kg/GJ']]]</f>
        <v>73653.636883885338</v>
      </c>
      <c r="X125" s="7" t="s">
        <v>353</v>
      </c>
    </row>
    <row r="126" spans="2:24" x14ac:dyDescent="0.25">
      <c r="B126" s="3" t="s">
        <v>19</v>
      </c>
      <c r="C126" s="3" t="s">
        <v>74</v>
      </c>
      <c r="D126" s="3" t="s">
        <v>269</v>
      </c>
      <c r="E126" s="3" t="str">
        <f>CONCATENATE(Úsporná_opatření[[#This Row],[Sektor]],Úsporná_opatření[[#This Row],[Opatření]])</f>
        <v>DopravaSnížení energetické náročnosti spotřebičů</v>
      </c>
      <c r="F126" s="4">
        <v>18000</v>
      </c>
      <c r="G126" s="11">
        <f>VLOOKUP(Úsporná_opatření[[#This Row],[Opatření podrobně]],Potenciál_opatření!$A$1:$C$191,3,0)</f>
        <v>0.8</v>
      </c>
      <c r="H126" s="13">
        <f>Úsporná_opatření[[#This Row],[Potenciál úspor energie v TJ]]*Úsporná_opatření[[#This Row],[Investice '[Kč/GJ']]]*1000</f>
        <v>31682445.487440657</v>
      </c>
      <c r="I126" s="13">
        <f>Úsporná_opatření[[#This Row],[Podíl dotace '[%']]]*Úsporná_opatření[[#This Row],[Investice]]</f>
        <v>25345956.389952525</v>
      </c>
      <c r="J126" s="3">
        <v>25</v>
      </c>
      <c r="K126" s="12">
        <f>VLOOKUP(Úsporná_opatření[[#This Row],[Opatření podrobně]],Potenciál_opatření!$A$1:$C$191,2,0)</f>
        <v>1.7601358604133699</v>
      </c>
      <c r="L126" s="3">
        <v>15</v>
      </c>
      <c r="M126" s="3" t="s">
        <v>12</v>
      </c>
      <c r="N126" s="3" t="s">
        <v>283</v>
      </c>
      <c r="O126" s="4">
        <f>Úsporná_opatření[[#This Row],[Potenciál úspor energie v TJ]]*Úsporná_opatření[[#This Row],[Emisní koeficient CO2 '[kg/GJ']]]</f>
        <v>428.25048388593996</v>
      </c>
      <c r="P126" s="4">
        <f>Úsporná_opatření[[#This Row],[Potenciál úspor energie v TJ]]*Úsporná_opatření[[#This Row],[Emisní koeficient CH4 '[g/GJ']]]</f>
        <v>4.5753284962735608</v>
      </c>
      <c r="Q126" s="4">
        <f>Úsporná_opatření[[#This Row],[Potenciál úspor energie v TJ]]*Úsporná_opatření[[#This Row],[Emisní koeficient N2O '[g/GJ']]]</f>
        <v>6.0055770569337001</v>
      </c>
      <c r="R126" s="4">
        <f>Úsporná_opatření[[#This Row],[Potenciál úspor energie v TJ]]*Úsporná_opatření[[#This Row],[Emisní koeficient CO2 eq '[kg/GJ']]]</f>
        <v>430.1545290613131</v>
      </c>
      <c r="S126" s="7">
        <f>VLOOKUP(Úsporná_opatření[[#This Row],[Šetřený nositel energie]] &amp; "#" &amp; Úsporná_opatření[[#This Row],[Nejpodobnější sektor]],Emiskoef,2,FALSE)</f>
        <v>243.30535699975164</v>
      </c>
      <c r="T126" s="7">
        <f>VLOOKUP(Úsporná_opatření[[#This Row],[Šetřený nositel energie]] &amp; "#" &amp; Úsporná_opatření[[#This Row],[Nejpodobnější sektor]],Emiskoef,3,FALSE)</f>
        <v>2.5994178058499644</v>
      </c>
      <c r="U126" s="7">
        <f>VLOOKUP(Úsporná_opatření[[#This Row],[Šetřený nositel energie]] &amp; "#" &amp; Úsporná_opatření[[#This Row],[Nejpodobnější sektor]],Emiskoef,4,FALSE)</f>
        <v>3.4119963077868793</v>
      </c>
      <c r="V12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6" s="4">
        <f>1000*Úsporná_opatření[[#This Row],[Investice '[Kč/GJ']]]/Úsporná_opatření[[#This Row],[Emisní koeficient CO2 eq '[kg/GJ']]]</f>
        <v>73653.636883885338</v>
      </c>
      <c r="X126" s="7" t="s">
        <v>353</v>
      </c>
    </row>
    <row r="127" spans="2:24" x14ac:dyDescent="0.25">
      <c r="B127" s="3" t="s">
        <v>7</v>
      </c>
      <c r="C127" s="3" t="s">
        <v>74</v>
      </c>
      <c r="D127" s="3" t="s">
        <v>277</v>
      </c>
      <c r="E127" s="3" t="str">
        <f>CONCATENATE(Úsporná_opatření[[#This Row],[Sektor]],Úsporná_opatření[[#This Row],[Opatření]])</f>
        <v>DomácnostiSnížení energetické náročnosti spotřebičů</v>
      </c>
      <c r="F127" s="4">
        <v>30000</v>
      </c>
      <c r="G127" s="11">
        <f>VLOOKUP(Úsporná_opatření[[#This Row],[Opatření podrobně]],Potenciál_opatření!$A$1:$C$191,3,0)</f>
        <v>0.52</v>
      </c>
      <c r="H127" s="13">
        <f>Úsporná_opatření[[#This Row],[Potenciál úspor energie v TJ]]*Úsporná_opatření[[#This Row],[Investice '[Kč/GJ']]]*1000</f>
        <v>10689372988.173151</v>
      </c>
      <c r="I127" s="13">
        <f>Úsporná_opatření[[#This Row],[Podíl dotace '[%']]]*Úsporná_opatření[[#This Row],[Investice]]</f>
        <v>5558473953.8500385</v>
      </c>
      <c r="J127" s="3">
        <v>25</v>
      </c>
      <c r="K127" s="12">
        <f>VLOOKUP(Úsporná_opatření[[#This Row],[Opatření podrobně]],Potenciál_opatření!$A$1:$C$191,2,0)</f>
        <v>356.31243293910507</v>
      </c>
      <c r="L127" s="3">
        <v>15</v>
      </c>
      <c r="M127" s="3" t="s">
        <v>12</v>
      </c>
      <c r="N127" s="3" t="s">
        <v>7</v>
      </c>
      <c r="O127" s="4">
        <f>Úsporná_opatření[[#This Row],[Potenciál úspor energie v TJ]]*Úsporná_opatření[[#This Row],[Emisní koeficient CO2 '[kg/GJ']]]</f>
        <v>86692.723699699025</v>
      </c>
      <c r="P127" s="4">
        <f>Úsporná_opatření[[#This Row],[Potenciál úspor energie v TJ]]*Úsporná_opatření[[#This Row],[Emisní koeficient CH4 '[g/GJ']]]</f>
        <v>926.20488262763104</v>
      </c>
      <c r="Q127" s="4">
        <f>Úsporná_opatření[[#This Row],[Potenciál úspor energie v TJ]]*Úsporná_opatření[[#This Row],[Emisní koeficient N2O '[g/GJ']]]</f>
        <v>1215.7367056067865</v>
      </c>
      <c r="R127" s="4">
        <f>Úsporná_opatření[[#This Row],[Potenciál úspor energie v TJ]]*Úsporná_opatření[[#This Row],[Emisní koeficient CO2 eq '[kg/GJ']]]</f>
        <v>87078.168360035546</v>
      </c>
      <c r="S127" s="7">
        <f>VLOOKUP(Úsporná_opatření[[#This Row],[Šetřený nositel energie]] &amp; "#" &amp; Úsporná_opatření[[#This Row],[Nejpodobnější sektor]],Emiskoef,2,FALSE)</f>
        <v>243.30535699975164</v>
      </c>
      <c r="T127" s="7">
        <f>VLOOKUP(Úsporná_opatření[[#This Row],[Šetřený nositel energie]] &amp; "#" &amp; Úsporná_opatření[[#This Row],[Nejpodobnější sektor]],Emiskoef,3,FALSE)</f>
        <v>2.5994178058499644</v>
      </c>
      <c r="U127" s="7">
        <f>VLOOKUP(Úsporná_opatření[[#This Row],[Šetřený nositel energie]] &amp; "#" &amp; Úsporná_opatření[[#This Row],[Nejpodobnější sektor]],Emiskoef,4,FALSE)</f>
        <v>3.4119963077868793</v>
      </c>
      <c r="V12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7" s="4">
        <f>1000*Úsporná_opatření[[#This Row],[Investice '[Kč/GJ']]]/Úsporná_opatření[[#This Row],[Emisní koeficient CO2 eq '[kg/GJ']]]</f>
        <v>122756.06147314224</v>
      </c>
      <c r="X127" s="7" t="s">
        <v>353</v>
      </c>
    </row>
    <row r="128" spans="2:24" x14ac:dyDescent="0.25">
      <c r="B128" s="3" t="s">
        <v>4</v>
      </c>
      <c r="C128" s="3" t="s">
        <v>66</v>
      </c>
      <c r="D128" s="3" t="s">
        <v>115</v>
      </c>
      <c r="E128" s="3" t="str">
        <f>CONCATENATE(Úsporná_opatření[[#This Row],[Sektor]],Úsporná_opatření[[#This Row],[Opatření]])</f>
        <v>PrůmyslSnížení ztrát v rozvodech tepla</v>
      </c>
      <c r="F128" s="4">
        <v>3000</v>
      </c>
      <c r="G128" s="11">
        <f>VLOOKUP(Úsporná_opatření[[#This Row],[Opatření podrobně]],Potenciál_opatření!$A$1:$C$191,3,0)</f>
        <v>0.66666666666666674</v>
      </c>
      <c r="H128" s="13">
        <f>Úsporná_opatření[[#This Row],[Potenciál úspor energie v TJ]]*Úsporná_opatření[[#This Row],[Investice '[Kč/GJ']]]*1000</f>
        <v>914063293.0799998</v>
      </c>
      <c r="I128" s="13">
        <f>Úsporná_opatření[[#This Row],[Podíl dotace '[%']]]*Úsporná_opatření[[#This Row],[Investice]]</f>
        <v>609375528.71999991</v>
      </c>
      <c r="J128" s="3">
        <v>15</v>
      </c>
      <c r="K128" s="12">
        <f>VLOOKUP(Úsporná_opatření[[#This Row],[Opatření podrobně]],Potenciál_opatření!$A$1:$C$191,2,0)</f>
        <v>304.68776435999996</v>
      </c>
      <c r="L128" s="3">
        <v>30</v>
      </c>
      <c r="M128" s="3" t="s">
        <v>13</v>
      </c>
      <c r="N128" s="3" t="s">
        <v>4</v>
      </c>
      <c r="O128" s="4">
        <f>Úsporná_opatření[[#This Row],[Potenciál úspor energie v TJ]]*Úsporná_opatření[[#This Row],[Emisní koeficient CO2 '[kg/GJ']]]</f>
        <v>28922.892640300022</v>
      </c>
      <c r="P128" s="4">
        <f>Úsporná_opatření[[#This Row],[Potenciál úspor energie v TJ]]*Úsporná_opatření[[#This Row],[Emisní koeficient CH4 '[g/GJ']]]</f>
        <v>349.86511716363287</v>
      </c>
      <c r="Q128" s="4">
        <f>Úsporná_opatření[[#This Row],[Potenciál úspor energie v TJ]]*Úsporná_opatření[[#This Row],[Emisní koeficient N2O '[g/GJ']]]</f>
        <v>341.30725056357528</v>
      </c>
      <c r="R128" s="4">
        <f>Úsporná_opatření[[#This Row],[Potenciál úspor energie v TJ]]*Úsporná_opatření[[#This Row],[Emisní koeficient CO2 eq '[kg/GJ']]]</f>
        <v>29033.348828897058</v>
      </c>
      <c r="S128" s="7">
        <f>VLOOKUP(Úsporná_opatření[[#This Row],[Šetřený nositel energie]] &amp; "#" &amp; Úsporná_opatření[[#This Row],[Nejpodobnější sektor]],Emiskoef,2,FALSE)</f>
        <v>94.926334508551335</v>
      </c>
      <c r="T128" s="7">
        <f>VLOOKUP(Úsporná_opatření[[#This Row],[Šetřený nositel energie]] &amp; "#" &amp; Úsporná_opatření[[#This Row],[Nejpodobnější sektor]],Emiskoef,3,FALSE)</f>
        <v>1.1482742600397113</v>
      </c>
      <c r="U128" s="7">
        <f>VLOOKUP(Úsporná_opatření[[#This Row],[Šetřený nositel energie]] &amp; "#" &amp; Úsporná_opatření[[#This Row],[Nejpodobnější sektor]],Emiskoef,4,FALSE)</f>
        <v>1.1201869273631482</v>
      </c>
      <c r="V128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128" s="4">
        <f>1000*Úsporná_opatření[[#This Row],[Investice '[Kč/GJ']]]/Úsporná_opatření[[#This Row],[Emisní koeficient CO2 eq '[kg/GJ']]]</f>
        <v>31483.219468304236</v>
      </c>
      <c r="X128" s="7" t="s">
        <v>351</v>
      </c>
    </row>
    <row r="129" spans="2:24" x14ac:dyDescent="0.25">
      <c r="B129" s="3" t="s">
        <v>4</v>
      </c>
      <c r="C129" s="3" t="s">
        <v>66</v>
      </c>
      <c r="D129" s="3" t="s">
        <v>191</v>
      </c>
      <c r="E129" s="3" t="str">
        <f>CONCATENATE(Úsporná_opatření[[#This Row],[Sektor]],Úsporná_opatření[[#This Row],[Opatření]])</f>
        <v>PrůmyslSnížení ztrát v rozvodech tepla</v>
      </c>
      <c r="F129" s="4">
        <v>15000</v>
      </c>
      <c r="G129" s="11">
        <f>VLOOKUP(Úsporná_opatření[[#This Row],[Opatření podrobně]],Potenciál_opatření!$A$1:$C$191,3,0)</f>
        <v>0.88888888888888884</v>
      </c>
      <c r="H129" s="13">
        <f>Úsporná_opatření[[#This Row],[Potenciál úspor energie v TJ]]*Úsporná_opatření[[#This Row],[Investice '[Kč/GJ']]]*1000</f>
        <v>13710949396.199997</v>
      </c>
      <c r="I129" s="13">
        <f>Úsporná_opatření[[#This Row],[Podíl dotace '[%']]]*Úsporná_opatření[[#This Row],[Investice]]</f>
        <v>12187510574.399996</v>
      </c>
      <c r="J129" s="3">
        <v>45</v>
      </c>
      <c r="K129" s="12">
        <f>VLOOKUP(Úsporná_opatření[[#This Row],[Opatření podrobně]],Potenciál_opatření!$A$1:$C$191,2,0)</f>
        <v>914.06329307999988</v>
      </c>
      <c r="L129" s="3">
        <v>30</v>
      </c>
      <c r="M129" s="3" t="s">
        <v>13</v>
      </c>
      <c r="N129" s="3" t="s">
        <v>4</v>
      </c>
      <c r="O129" s="4">
        <f>Úsporná_opatření[[#This Row],[Potenciál úspor energie v TJ]]*Úsporná_opatření[[#This Row],[Emisní koeficient CO2 '[kg/GJ']]]</f>
        <v>86768.677920900067</v>
      </c>
      <c r="P129" s="4">
        <f>Úsporná_opatření[[#This Row],[Potenciál úspor energie v TJ]]*Úsporná_opatření[[#This Row],[Emisní koeficient CH4 '[g/GJ']]]</f>
        <v>1049.5953514908986</v>
      </c>
      <c r="Q129" s="4">
        <f>Úsporná_opatření[[#This Row],[Potenciál úspor energie v TJ]]*Úsporná_opatření[[#This Row],[Emisní koeficient N2O '[g/GJ']]]</f>
        <v>1023.9217516907258</v>
      </c>
      <c r="R129" s="4">
        <f>Úsporná_opatření[[#This Row],[Potenciál úspor energie v TJ]]*Úsporná_opatření[[#This Row],[Emisní koeficient CO2 eq '[kg/GJ']]]</f>
        <v>87100.046486691179</v>
      </c>
      <c r="S129" s="7">
        <f>VLOOKUP(Úsporná_opatření[[#This Row],[Šetřený nositel energie]] &amp; "#" &amp; Úsporná_opatření[[#This Row],[Nejpodobnější sektor]],Emiskoef,2,FALSE)</f>
        <v>94.926334508551335</v>
      </c>
      <c r="T129" s="7">
        <f>VLOOKUP(Úsporná_opatření[[#This Row],[Šetřený nositel energie]] &amp; "#" &amp; Úsporná_opatření[[#This Row],[Nejpodobnější sektor]],Emiskoef,3,FALSE)</f>
        <v>1.1482742600397113</v>
      </c>
      <c r="U129" s="7">
        <f>VLOOKUP(Úsporná_opatření[[#This Row],[Šetřený nositel energie]] &amp; "#" &amp; Úsporná_opatření[[#This Row],[Nejpodobnější sektor]],Emiskoef,4,FALSE)</f>
        <v>1.1201869273631482</v>
      </c>
      <c r="V129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129" s="4">
        <f>1000*Úsporná_opatření[[#This Row],[Investice '[Kč/GJ']]]/Úsporná_opatření[[#This Row],[Emisní koeficient CO2 eq '[kg/GJ']]]</f>
        <v>157416.09734152118</v>
      </c>
      <c r="X129" s="7" t="s">
        <v>352</v>
      </c>
    </row>
    <row r="130" spans="2:24" x14ac:dyDescent="0.25">
      <c r="B130" s="3" t="s">
        <v>4</v>
      </c>
      <c r="C130" s="3" t="s">
        <v>66</v>
      </c>
      <c r="D130" s="3" t="s">
        <v>218</v>
      </c>
      <c r="E130" s="3" t="str">
        <f>CONCATENATE(Úsporná_opatření[[#This Row],[Sektor]],Úsporná_opatření[[#This Row],[Opatření]])</f>
        <v>PrůmyslSnížení ztrát v rozvodech tepla</v>
      </c>
      <c r="F130" s="4">
        <v>20000</v>
      </c>
      <c r="G130" s="11">
        <f>VLOOKUP(Úsporná_opatření[[#This Row],[Opatření podrobně]],Potenciál_opatření!$A$1:$C$191,3,0)</f>
        <v>0.91666666666666663</v>
      </c>
      <c r="H130" s="13">
        <f>Úsporná_opatření[[#This Row],[Potenciál úspor energie v TJ]]*Úsporná_opatření[[#This Row],[Investice '[Kč/GJ']]]*1000</f>
        <v>6093755287.1999989</v>
      </c>
      <c r="I130" s="13">
        <f>Úsporná_opatření[[#This Row],[Podíl dotace '[%']]]*Úsporná_opatření[[#This Row],[Investice]]</f>
        <v>5585942346.5999985</v>
      </c>
      <c r="J130" s="3">
        <v>60</v>
      </c>
      <c r="K130" s="12">
        <f>VLOOKUP(Úsporná_opatření[[#This Row],[Opatření podrobně]],Potenciál_opatření!$A$1:$C$191,2,0)</f>
        <v>304.68776435999996</v>
      </c>
      <c r="L130" s="3">
        <v>30</v>
      </c>
      <c r="M130" s="3" t="s">
        <v>13</v>
      </c>
      <c r="N130" s="3" t="s">
        <v>4</v>
      </c>
      <c r="O130" s="4">
        <f>Úsporná_opatření[[#This Row],[Potenciál úspor energie v TJ]]*Úsporná_opatření[[#This Row],[Emisní koeficient CO2 '[kg/GJ']]]</f>
        <v>28922.892640300022</v>
      </c>
      <c r="P130" s="4">
        <f>Úsporná_opatření[[#This Row],[Potenciál úspor energie v TJ]]*Úsporná_opatření[[#This Row],[Emisní koeficient CH4 '[g/GJ']]]</f>
        <v>349.86511716363287</v>
      </c>
      <c r="Q130" s="4">
        <f>Úsporná_opatření[[#This Row],[Potenciál úspor energie v TJ]]*Úsporná_opatření[[#This Row],[Emisní koeficient N2O '[g/GJ']]]</f>
        <v>341.30725056357528</v>
      </c>
      <c r="R130" s="4">
        <f>Úsporná_opatření[[#This Row],[Potenciál úspor energie v TJ]]*Úsporná_opatření[[#This Row],[Emisní koeficient CO2 eq '[kg/GJ']]]</f>
        <v>29033.348828897058</v>
      </c>
      <c r="S130" s="7">
        <f>VLOOKUP(Úsporná_opatření[[#This Row],[Šetřený nositel energie]] &amp; "#" &amp; Úsporná_opatření[[#This Row],[Nejpodobnější sektor]],Emiskoef,2,FALSE)</f>
        <v>94.926334508551335</v>
      </c>
      <c r="T130" s="7">
        <f>VLOOKUP(Úsporná_opatření[[#This Row],[Šetřený nositel energie]] &amp; "#" &amp; Úsporná_opatření[[#This Row],[Nejpodobnější sektor]],Emiskoef,3,FALSE)</f>
        <v>1.1482742600397113</v>
      </c>
      <c r="U130" s="7">
        <f>VLOOKUP(Úsporná_opatření[[#This Row],[Šetřený nositel energie]] &amp; "#" &amp; Úsporná_opatření[[#This Row],[Nejpodobnější sektor]],Emiskoef,4,FALSE)</f>
        <v>1.1201869273631482</v>
      </c>
      <c r="V130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130" s="4">
        <f>1000*Úsporná_opatření[[#This Row],[Investice '[Kč/GJ']]]/Úsporná_opatření[[#This Row],[Emisní koeficient CO2 eq '[kg/GJ']]]</f>
        <v>209888.1297886949</v>
      </c>
      <c r="X130" s="7" t="s">
        <v>353</v>
      </c>
    </row>
    <row r="131" spans="2:24" x14ac:dyDescent="0.25">
      <c r="B131" s="3" t="s">
        <v>4</v>
      </c>
      <c r="C131" s="3" t="s">
        <v>60</v>
      </c>
      <c r="D131" s="3" t="s">
        <v>103</v>
      </c>
      <c r="E131" s="3" t="str">
        <f>CONCATENATE(Úsporná_opatření[[#This Row],[Sektor]],Úsporná_opatření[[#This Row],[Opatření]])</f>
        <v>PrůmyslTepelná izolace technologií</v>
      </c>
      <c r="F131" s="4">
        <v>1463.3161079519559</v>
      </c>
      <c r="G131" s="11">
        <f>VLOOKUP(Úsporná_opatření[[#This Row],[Opatření podrobně]],Potenciál_opatření!$A$1:$C$191,3,0)</f>
        <v>0</v>
      </c>
      <c r="H131" s="13">
        <f>Úsporná_opatření[[#This Row],[Potenciál úspor energie v TJ]]*Úsporná_opatření[[#This Row],[Investice '[Kč/GJ']]]*1000</f>
        <v>347070522.18077862</v>
      </c>
      <c r="I131" s="13">
        <f>Úsporná_opatření[[#This Row],[Podíl dotace '[%']]]*Úsporná_opatření[[#This Row],[Investice]]</f>
        <v>0</v>
      </c>
      <c r="J131" s="3">
        <v>3</v>
      </c>
      <c r="K131" s="12">
        <f>VLOOKUP(Úsporná_opatření[[#This Row],[Opatření podrobně]],Potenciál_opatření!$A$1:$C$191,2,0)</f>
        <v>237.18082531500005</v>
      </c>
      <c r="L131" s="3">
        <v>20</v>
      </c>
      <c r="M131" s="3" t="s">
        <v>44</v>
      </c>
      <c r="N131" s="3" t="s">
        <v>4</v>
      </c>
      <c r="O131" s="4">
        <f>Úsporná_opatření[[#This Row],[Potenciál úspor energie v TJ]]*Úsporná_opatření[[#This Row],[Emisní koeficient CO2 '[kg/GJ']]]</f>
        <v>15724.944902549665</v>
      </c>
      <c r="P131" s="4">
        <f>Úsporná_opatření[[#This Row],[Potenciál úspor energie v TJ]]*Úsporná_opatření[[#This Row],[Emisní koeficient CH4 '[g/GJ']]]</f>
        <v>1142.6622493932866</v>
      </c>
      <c r="Q131" s="4">
        <f>Úsporná_opatření[[#This Row],[Potenciál úspor energie v TJ]]*Úsporná_opatření[[#This Row],[Emisní koeficient N2O '[g/GJ']]]</f>
        <v>200.43027149292814</v>
      </c>
      <c r="R131" s="4">
        <f>Úsporná_opatření[[#This Row],[Potenciál úspor energie v TJ]]*Úsporná_opatření[[#This Row],[Emisní koeficient CO2 eq '[kg/GJ']]]</f>
        <v>15813.23967968939</v>
      </c>
      <c r="S131" s="7">
        <f>VLOOKUP(Úsporná_opatření[[#This Row],[Šetřený nositel energie]] &amp; "#" &amp; Úsporná_opatření[[#This Row],[Nejpodobnější sektor]],Emiskoef,2,FALSE)</f>
        <v>66.299393644765985</v>
      </c>
      <c r="T131" s="7">
        <f>VLOOKUP(Úsporná_opatření[[#This Row],[Šetřený nositel energie]] &amp; "#" &amp; Úsporná_opatření[[#This Row],[Nejpodobnější sektor]],Emiskoef,3,FALSE)</f>
        <v>4.8176839248101775</v>
      </c>
      <c r="U131" s="7">
        <f>VLOOKUP(Úsporná_opatření[[#This Row],[Šetřený nositel energie]] &amp; "#" &amp; Úsporná_opatření[[#This Row],[Nejpodobnější sektor]],Emiskoef,4,FALSE)</f>
        <v>0.84505259321337012</v>
      </c>
      <c r="V131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31" s="4">
        <f>1000*Úsporná_opatření[[#This Row],[Investice '[Kč/GJ']]]/Úsporná_opatření[[#This Row],[Emisní koeficient CO2 eq '[kg/GJ']]]</f>
        <v>21948.097240729101</v>
      </c>
      <c r="X131" s="7" t="s">
        <v>351</v>
      </c>
    </row>
    <row r="132" spans="2:24" x14ac:dyDescent="0.25">
      <c r="B132" s="3" t="s">
        <v>4</v>
      </c>
      <c r="C132" s="3" t="s">
        <v>60</v>
      </c>
      <c r="D132" s="3" t="s">
        <v>116</v>
      </c>
      <c r="E132" s="3" t="str">
        <f>CONCATENATE(Úsporná_opatření[[#This Row],[Sektor]],Úsporná_opatření[[#This Row],[Opatření]])</f>
        <v>PrůmyslTepelná izolace technologií</v>
      </c>
      <c r="F132" s="4">
        <v>2100</v>
      </c>
      <c r="G132" s="11">
        <f>VLOOKUP(Úsporná_opatření[[#This Row],[Opatření podrobně]],Potenciál_opatření!$A$1:$C$191,3,0)</f>
        <v>0.16666666666666663</v>
      </c>
      <c r="H132" s="13">
        <f>Úsporná_opatření[[#This Row],[Potenciál úspor energie v TJ]]*Úsporná_opatření[[#This Row],[Investice '[Kč/GJ']]]*1000</f>
        <v>3984637865.2920012</v>
      </c>
      <c r="I132" s="13">
        <f>Úsporná_opatření[[#This Row],[Podíl dotace '[%']]]*Úsporná_opatření[[#This Row],[Investice]]</f>
        <v>664106310.88200009</v>
      </c>
      <c r="J132" s="3">
        <v>6</v>
      </c>
      <c r="K132" s="12">
        <f>VLOOKUP(Úsporná_opatření[[#This Row],[Opatření podrobně]],Potenciál_opatření!$A$1:$C$191,2,0)</f>
        <v>1897.4466025200004</v>
      </c>
      <c r="L132" s="3">
        <v>20</v>
      </c>
      <c r="M132" s="3" t="s">
        <v>44</v>
      </c>
      <c r="N132" s="3" t="s">
        <v>4</v>
      </c>
      <c r="O132" s="4">
        <f>Úsporná_opatření[[#This Row],[Potenciál úspor energie v TJ]]*Úsporná_opatření[[#This Row],[Emisní koeficient CO2 '[kg/GJ']]]</f>
        <v>125799.55922039732</v>
      </c>
      <c r="P132" s="4">
        <f>Úsporná_opatření[[#This Row],[Potenciál úspor energie v TJ]]*Úsporná_opatření[[#This Row],[Emisní koeficient CH4 '[g/GJ']]]</f>
        <v>9141.297995146293</v>
      </c>
      <c r="Q132" s="4">
        <f>Úsporná_opatření[[#This Row],[Potenciál úspor energie v TJ]]*Úsporná_opatření[[#This Row],[Emisní koeficient N2O '[g/GJ']]]</f>
        <v>1603.4421719434251</v>
      </c>
      <c r="R132" s="4">
        <f>Úsporná_opatření[[#This Row],[Potenciál úspor energie v TJ]]*Úsporná_opatření[[#This Row],[Emisní koeficient CO2 eq '[kg/GJ']]]</f>
        <v>126505.91743751512</v>
      </c>
      <c r="S132" s="7">
        <f>VLOOKUP(Úsporná_opatření[[#This Row],[Šetřený nositel energie]] &amp; "#" &amp; Úsporná_opatření[[#This Row],[Nejpodobnější sektor]],Emiskoef,2,FALSE)</f>
        <v>66.299393644765985</v>
      </c>
      <c r="T132" s="7">
        <f>VLOOKUP(Úsporná_opatření[[#This Row],[Šetřený nositel energie]] &amp; "#" &amp; Úsporná_opatření[[#This Row],[Nejpodobnější sektor]],Emiskoef,3,FALSE)</f>
        <v>4.8176839248101775</v>
      </c>
      <c r="U132" s="7">
        <f>VLOOKUP(Úsporná_opatření[[#This Row],[Šetřený nositel energie]] &amp; "#" &amp; Úsporná_opatření[[#This Row],[Nejpodobnější sektor]],Emiskoef,4,FALSE)</f>
        <v>0.84505259321337012</v>
      </c>
      <c r="V132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32" s="4">
        <f>1000*Úsporná_opatření[[#This Row],[Investice '[Kč/GJ']]]/Úsporná_opatření[[#This Row],[Emisní koeficient CO2 eq '[kg/GJ']]]</f>
        <v>31497.640157901129</v>
      </c>
      <c r="X132" s="7" t="s">
        <v>352</v>
      </c>
    </row>
    <row r="133" spans="2:24" x14ac:dyDescent="0.25">
      <c r="B133" s="3" t="s">
        <v>4</v>
      </c>
      <c r="C133" s="3" t="s">
        <v>60</v>
      </c>
      <c r="D133" s="3" t="s">
        <v>149</v>
      </c>
      <c r="E133" s="3" t="str">
        <f>CONCATENATE(Úsporná_opatření[[#This Row],[Sektor]],Úsporná_opatření[[#This Row],[Opatření]])</f>
        <v>PrůmyslTepelná izolace technologií</v>
      </c>
      <c r="F133" s="4">
        <v>4666.3221590391186</v>
      </c>
      <c r="G133" s="11">
        <f>VLOOKUP(Úsporná_opatření[[#This Row],[Opatření podrobně]],Potenciál_opatření!$A$1:$C$191,3,0)</f>
        <v>0.5</v>
      </c>
      <c r="H133" s="13">
        <f>Úsporná_opatření[[#This Row],[Potenciál úspor energie v TJ]]*Úsporná_opatření[[#This Row],[Investice '[Kč/GJ']]]*1000</f>
        <v>12174383549.53228</v>
      </c>
      <c r="I133" s="13">
        <f>Úsporná_opatření[[#This Row],[Podíl dotace '[%']]]*Úsporná_opatření[[#This Row],[Investice]]</f>
        <v>6087191774.76614</v>
      </c>
      <c r="J133" s="3">
        <v>10</v>
      </c>
      <c r="K133" s="12">
        <f>VLOOKUP(Úsporná_opatření[[#This Row],[Opatření podrobně]],Potenciál_opatření!$A$1:$C$191,2,0)</f>
        <v>2608.9890784650001</v>
      </c>
      <c r="L133" s="3">
        <v>20</v>
      </c>
      <c r="M133" s="3" t="s">
        <v>44</v>
      </c>
      <c r="N133" s="3" t="s">
        <v>4</v>
      </c>
      <c r="O133" s="4">
        <f>Úsporná_opatření[[#This Row],[Potenciál úspor energie v TJ]]*Úsporná_opatření[[#This Row],[Emisní koeficient CO2 '[kg/GJ']]]</f>
        <v>172974.39392804628</v>
      </c>
      <c r="P133" s="4">
        <f>Úsporná_opatření[[#This Row],[Potenciál úspor energie v TJ]]*Úsporná_opatření[[#This Row],[Emisní koeficient CH4 '[g/GJ']]]</f>
        <v>12569.28474332615</v>
      </c>
      <c r="Q133" s="4">
        <f>Úsporná_opatření[[#This Row],[Potenciál úspor energie v TJ]]*Úsporná_opatření[[#This Row],[Emisní koeficient N2O '[g/GJ']]]</f>
        <v>2204.7329864222093</v>
      </c>
      <c r="R133" s="4">
        <f>Úsporná_opatření[[#This Row],[Potenciál úspor energie v TJ]]*Úsporná_opatření[[#This Row],[Emisní koeficient CO2 eq '[kg/GJ']]]</f>
        <v>173945.63647658325</v>
      </c>
      <c r="S133" s="7">
        <f>VLOOKUP(Úsporná_opatření[[#This Row],[Šetřený nositel energie]] &amp; "#" &amp; Úsporná_opatření[[#This Row],[Nejpodobnější sektor]],Emiskoef,2,FALSE)</f>
        <v>66.299393644765985</v>
      </c>
      <c r="T133" s="7">
        <f>VLOOKUP(Úsporná_opatření[[#This Row],[Šetřený nositel energie]] &amp; "#" &amp; Úsporná_opatření[[#This Row],[Nejpodobnější sektor]],Emiskoef,3,FALSE)</f>
        <v>4.8176839248101775</v>
      </c>
      <c r="U133" s="7">
        <f>VLOOKUP(Úsporná_opatření[[#This Row],[Šetřený nositel energie]] &amp; "#" &amp; Úsporná_opatření[[#This Row],[Nejpodobnější sektor]],Emiskoef,4,FALSE)</f>
        <v>0.84505259321337012</v>
      </c>
      <c r="V133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33" s="4">
        <f>1000*Úsporná_opatření[[#This Row],[Investice '[Kč/GJ']]]/Úsporná_opatření[[#This Row],[Emisní koeficient CO2 eq '[kg/GJ']]]</f>
        <v>69989.588679168781</v>
      </c>
      <c r="X133" s="7" t="s">
        <v>353</v>
      </c>
    </row>
    <row r="134" spans="2:24" x14ac:dyDescent="0.25">
      <c r="B134" s="3" t="s">
        <v>19</v>
      </c>
      <c r="C134" s="3" t="s">
        <v>87</v>
      </c>
      <c r="D134" s="3" t="s">
        <v>279</v>
      </c>
      <c r="E134" s="3" t="str">
        <f>CONCATENATE(Úsporná_opatření[[#This Row],[Sektor]],Úsporná_opatření[[#This Row],[Opatření]])</f>
        <v>DopravaUrychlení obnovy vozidel M1</v>
      </c>
      <c r="F134" s="4">
        <v>37053.271123126789</v>
      </c>
      <c r="G134" s="11">
        <f>VLOOKUP(Úsporná_opatření[[#This Row],[Opatření podrobně]],Potenciál_opatření!$A$1:$C$191,3,0)</f>
        <v>0.90909090909090906</v>
      </c>
      <c r="H134" s="13">
        <f>Úsporná_opatření[[#This Row],[Potenciál úspor energie v TJ]]*Úsporná_opatření[[#This Row],[Investice '[Kč/GJ']]]*1000</f>
        <v>916241251207.02234</v>
      </c>
      <c r="I134" s="13">
        <f>Úsporná_opatření[[#This Row],[Podíl dotace '[%']]]*Úsporná_opatření[[#This Row],[Investice]]</f>
        <v>832946592006.38391</v>
      </c>
      <c r="J134" s="3">
        <v>55</v>
      </c>
      <c r="K134" s="12">
        <f>VLOOKUP(Úsporná_opatření[[#This Row],[Opatření podrobně]],Potenciál_opatření!$A$1:$C$191,2,0)</f>
        <v>24727.675140000003</v>
      </c>
      <c r="L134" s="3">
        <v>10</v>
      </c>
      <c r="M134" s="3" t="s">
        <v>282</v>
      </c>
      <c r="N134" s="3" t="s">
        <v>21</v>
      </c>
      <c r="O134" s="4">
        <f>Úsporná_opatření[[#This Row],[Potenciál úspor energie v TJ]]*Úsporná_opatření[[#This Row],[Emisní koeficient CO2 '[kg/GJ']]]</f>
        <v>1704671.9381912609</v>
      </c>
      <c r="P134" s="4">
        <f>Úsporná_opatření[[#This Row],[Potenciál úspor energie v TJ]]*Úsporná_opatření[[#This Row],[Emisní koeficient CH4 '[g/GJ']]]</f>
        <v>88009.803905393113</v>
      </c>
      <c r="Q134" s="4">
        <f>Úsporná_opatření[[#This Row],[Potenciál úspor energie v TJ]]*Úsporná_opatření[[#This Row],[Emisní koeficient N2O '[g/GJ']]]</f>
        <v>125387.9033816546</v>
      </c>
      <c r="R134" s="4">
        <f>Úsporná_opatření[[#This Row],[Potenciál úspor energie v TJ]]*Úsporná_opatření[[#This Row],[Emisní koeficient CO2 eq '[kg/GJ']]]</f>
        <v>1744237.7784966289</v>
      </c>
      <c r="S134" s="7">
        <f>VLOOKUP(Úsporná_opatření[[#This Row],[Šetřený nositel energie]] &amp; "#" &amp; Úsporná_opatření[[#This Row],[Nejpodobnější sektor]],Emiskoef,2,FALSE)</f>
        <v>68.937816779780803</v>
      </c>
      <c r="T134" s="7">
        <f>VLOOKUP(Úsporná_opatření[[#This Row],[Šetřený nositel energie]] &amp; "#" &amp; Úsporná_opatření[[#This Row],[Nejpodobnější sektor]],Emiskoef,3,FALSE)</f>
        <v>3.5591620889190114</v>
      </c>
      <c r="U134" s="7">
        <f>VLOOKUP(Úsporná_opatření[[#This Row],[Šetřený nositel energie]] &amp; "#" &amp; Úsporná_opatření[[#This Row],[Nejpodobnější sektor]],Emiskoef,4,FALSE)</f>
        <v>5.0707518062959549</v>
      </c>
      <c r="V134" s="7">
        <f>Úsporná_opatření[[#This Row],[Emisní koeficient CO2 '[kg/GJ']]]+0.025*Úsporná_opatření[[#This Row],[Emisní koeficient CH4 '[g/GJ']]]+0.298*Úsporná_opatření[[#This Row],[Emisní koeficient N2O '[g/GJ']]]</f>
        <v>70.53787987027998</v>
      </c>
      <c r="W134" s="4">
        <f>1000*Úsporná_opatření[[#This Row],[Investice '[Kč/GJ']]]/Úsporná_opatření[[#This Row],[Emisní koeficient CO2 eq '[kg/GJ']]]</f>
        <v>525296.0705831846</v>
      </c>
      <c r="X134" s="7" t="s">
        <v>352</v>
      </c>
    </row>
    <row r="135" spans="2:24" x14ac:dyDescent="0.25">
      <c r="B135" s="3" t="s">
        <v>19</v>
      </c>
      <c r="C135" s="3" t="s">
        <v>86</v>
      </c>
      <c r="D135" s="3" t="s">
        <v>278</v>
      </c>
      <c r="E135" s="3" t="str">
        <f>CONCATENATE(Úsporná_opatření[[#This Row],[Sektor]],Úsporná_opatření[[#This Row],[Opatření]])</f>
        <v>DopravaUrychlení obnovy vozidel M2 a M3</v>
      </c>
      <c r="F135" s="4">
        <v>23579.354351080685</v>
      </c>
      <c r="G135" s="11">
        <f>VLOOKUP(Úsporná_opatření[[#This Row],[Opatření podrobně]],Potenciál_opatření!$A$1:$C$191,3,0)</f>
        <v>0.85714285714285721</v>
      </c>
      <c r="H135" s="13">
        <f>Úsporná_opatření[[#This Row],[Potenciál úspor energie v TJ]]*Úsporná_opatření[[#This Row],[Investice '[Kč/GJ']]]*1000</f>
        <v>44269568871.450447</v>
      </c>
      <c r="I135" s="13">
        <f>Úsporná_opatření[[#This Row],[Podíl dotace '[%']]]*Úsporná_opatření[[#This Row],[Investice]]</f>
        <v>37945344746.957527</v>
      </c>
      <c r="J135" s="3">
        <v>35</v>
      </c>
      <c r="K135" s="12">
        <f>VLOOKUP(Úsporná_opatření[[#This Row],[Opatření podrobně]],Potenciál_opatření!$A$1:$C$191,2,0)</f>
        <v>1877.4716310000019</v>
      </c>
      <c r="L135" s="3">
        <v>10</v>
      </c>
      <c r="M135" s="3" t="s">
        <v>282</v>
      </c>
      <c r="N135" s="3" t="s">
        <v>21</v>
      </c>
      <c r="O135" s="4">
        <f>Úsporná_opatření[[#This Row],[Potenciál úspor energie v TJ]]*Úsporná_opatření[[#This Row],[Emisní koeficient CO2 '[kg/GJ']]]</f>
        <v>129428.79530711437</v>
      </c>
      <c r="P135" s="4">
        <f>Úsporná_opatření[[#This Row],[Potenciál úspor energie v TJ]]*Úsporná_opatření[[#This Row],[Emisní koeficient CH4 '[g/GJ']]]</f>
        <v>6682.2258520761507</v>
      </c>
      <c r="Q135" s="4">
        <f>Úsporná_opatření[[#This Row],[Potenciál úspor energie v TJ]]*Úsporná_opatření[[#This Row],[Emisní koeficient N2O '[g/GJ']]]</f>
        <v>9520.1926641626724</v>
      </c>
      <c r="R135" s="4">
        <f>Úsporná_opatření[[#This Row],[Potenciál úspor energie v TJ]]*Úsporná_opatření[[#This Row],[Emisní koeficient CO2 eq '[kg/GJ']]]</f>
        <v>132432.86836733675</v>
      </c>
      <c r="S135" s="7">
        <f>VLOOKUP(Úsporná_opatření[[#This Row],[Šetřený nositel energie]] &amp; "#" &amp; Úsporná_opatření[[#This Row],[Nejpodobnější sektor]],Emiskoef,2,FALSE)</f>
        <v>68.937816779780803</v>
      </c>
      <c r="T135" s="7">
        <f>VLOOKUP(Úsporná_opatření[[#This Row],[Šetřený nositel energie]] &amp; "#" &amp; Úsporná_opatření[[#This Row],[Nejpodobnější sektor]],Emiskoef,3,FALSE)</f>
        <v>3.5591620889190114</v>
      </c>
      <c r="U135" s="7">
        <f>VLOOKUP(Úsporná_opatření[[#This Row],[Šetřený nositel energie]] &amp; "#" &amp; Úsporná_opatření[[#This Row],[Nejpodobnější sektor]],Emiskoef,4,FALSE)</f>
        <v>5.0707518062959549</v>
      </c>
      <c r="V135" s="7">
        <f>Úsporná_opatření[[#This Row],[Emisní koeficient CO2 '[kg/GJ']]]+0.025*Úsporná_opatření[[#This Row],[Emisní koeficient CH4 '[g/GJ']]]+0.298*Úsporná_opatření[[#This Row],[Emisní koeficient N2O '[g/GJ']]]</f>
        <v>70.53787987027998</v>
      </c>
      <c r="W135" s="4">
        <f>1000*Úsporná_opatření[[#This Row],[Investice '[Kč/GJ']]]/Úsporná_opatření[[#This Row],[Emisní koeficient CO2 eq '[kg/GJ']]]</f>
        <v>334279.31764384476</v>
      </c>
      <c r="X135" s="7" t="s">
        <v>352</v>
      </c>
    </row>
    <row r="136" spans="2:24" x14ac:dyDescent="0.25">
      <c r="B136" s="3" t="s">
        <v>19</v>
      </c>
      <c r="C136" s="3" t="s">
        <v>88</v>
      </c>
      <c r="D136" s="3" t="s">
        <v>280</v>
      </c>
      <c r="E136" s="3" t="str">
        <f>CONCATENATE(Úsporná_opatření[[#This Row],[Sektor]],Úsporná_opatření[[#This Row],[Opatření]])</f>
        <v>DopravaUrychlení obnovy vozidel N1 až N3</v>
      </c>
      <c r="F136" s="4">
        <v>37053.271123126789</v>
      </c>
      <c r="G136" s="11">
        <f>VLOOKUP(Úsporná_opatření[[#This Row],[Opatření podrobně]],Potenciál_opatření!$A$1:$C$191,3,0)</f>
        <v>0.90909090909090906</v>
      </c>
      <c r="H136" s="13">
        <f>Úsporná_opatření[[#This Row],[Potenciál úspor energie v TJ]]*Úsporná_opatření[[#This Row],[Investice '[Kč/GJ']]]*1000</f>
        <v>585376354937.8197</v>
      </c>
      <c r="I136" s="13">
        <f>Úsporná_opatření[[#This Row],[Podíl dotace '[%']]]*Úsporná_opatření[[#This Row],[Investice]]</f>
        <v>532160322670.74518</v>
      </c>
      <c r="J136" s="3">
        <v>55</v>
      </c>
      <c r="K136" s="12">
        <f>VLOOKUP(Úsporná_opatření[[#This Row],[Opatření podrobně]],Potenciál_opatření!$A$1:$C$191,2,0)</f>
        <v>15798.236894999998</v>
      </c>
      <c r="L136" s="3">
        <v>10</v>
      </c>
      <c r="M136" s="3" t="s">
        <v>282</v>
      </c>
      <c r="N136" s="3" t="s">
        <v>21</v>
      </c>
      <c r="O136" s="4">
        <f>Úsporná_opatření[[#This Row],[Potenciál úspor energie v TJ]]*Úsporná_opatření[[#This Row],[Emisní koeficient CO2 '[kg/GJ']]]</f>
        <v>1089095.960511083</v>
      </c>
      <c r="P136" s="4">
        <f>Úsporná_opatření[[#This Row],[Potenciál úspor energie v TJ]]*Úsporná_opatření[[#This Row],[Emisní koeficient CH4 '[g/GJ']]]</f>
        <v>56228.485828445591</v>
      </c>
      <c r="Q136" s="4">
        <f>Úsporná_opatření[[#This Row],[Potenciál úspor energie v TJ]]*Úsporná_opatření[[#This Row],[Emisní koeficient N2O '[g/GJ']]]</f>
        <v>80108.938271612642</v>
      </c>
      <c r="R136" s="4">
        <f>Úsporná_opatření[[#This Row],[Potenciál úspor energie v TJ]]*Úsporná_opatření[[#This Row],[Emisní koeficient CO2 eq '[kg/GJ']]]</f>
        <v>1114374.1362617349</v>
      </c>
      <c r="S136" s="7">
        <f>VLOOKUP(Úsporná_opatření[[#This Row],[Šetřený nositel energie]] &amp; "#" &amp; Úsporná_opatření[[#This Row],[Nejpodobnější sektor]],Emiskoef,2,FALSE)</f>
        <v>68.937816779780803</v>
      </c>
      <c r="T136" s="7">
        <f>VLOOKUP(Úsporná_opatření[[#This Row],[Šetřený nositel energie]] &amp; "#" &amp; Úsporná_opatření[[#This Row],[Nejpodobnější sektor]],Emiskoef,3,FALSE)</f>
        <v>3.5591620889190114</v>
      </c>
      <c r="U136" s="7">
        <f>VLOOKUP(Úsporná_opatření[[#This Row],[Šetřený nositel energie]] &amp; "#" &amp; Úsporná_opatření[[#This Row],[Nejpodobnější sektor]],Emiskoef,4,FALSE)</f>
        <v>5.0707518062959549</v>
      </c>
      <c r="V136" s="7">
        <f>Úsporná_opatření[[#This Row],[Emisní koeficient CO2 '[kg/GJ']]]+0.025*Úsporná_opatření[[#This Row],[Emisní koeficient CH4 '[g/GJ']]]+0.298*Úsporná_opatření[[#This Row],[Emisní koeficient N2O '[g/GJ']]]</f>
        <v>70.53787987027998</v>
      </c>
      <c r="W136" s="4">
        <f>1000*Úsporná_opatření[[#This Row],[Investice '[Kč/GJ']]]/Úsporná_opatření[[#This Row],[Emisní koeficient CO2 eq '[kg/GJ']]]</f>
        <v>525296.0705831846</v>
      </c>
      <c r="X136" s="7" t="s">
        <v>352</v>
      </c>
    </row>
    <row r="137" spans="2:24" x14ac:dyDescent="0.25">
      <c r="B137" s="3" t="s">
        <v>311</v>
      </c>
      <c r="C137" s="3" t="s">
        <v>79</v>
      </c>
      <c r="D137" s="3" t="s">
        <v>192</v>
      </c>
      <c r="E137" s="3" t="str">
        <f>CONCATENATE(Úsporná_opatření[[#This Row],[Sektor]],Úsporná_opatření[[#This Row],[Opatření]])</f>
        <v>veřejná správaVnější osvětlení - instalace LED</v>
      </c>
      <c r="F137" s="4">
        <v>10400</v>
      </c>
      <c r="G137" s="11">
        <f>VLOOKUP(Úsporná_opatření[[#This Row],[Opatření podrobně]],Potenciál_opatření!$A$1:$C$191,3,0)</f>
        <v>0</v>
      </c>
      <c r="H137" s="13">
        <f>Úsporná_opatření[[#This Row],[Potenciál úspor energie v TJ]]*Úsporná_opatření[[#This Row],[Investice '[Kč/GJ']]]*1000</f>
        <v>1511957344.5522003</v>
      </c>
      <c r="I137" s="13">
        <f>Úsporná_opatření[[#This Row],[Podíl dotace '[%']]]*Úsporná_opatření[[#This Row],[Investice]]</f>
        <v>0</v>
      </c>
      <c r="J137" s="3">
        <v>7</v>
      </c>
      <c r="K137" s="12">
        <f>VLOOKUP(Úsporná_opatření[[#This Row],[Opatření podrobně]],Potenciál_opatření!$A$1:$C$191,2,0)</f>
        <v>145.38051389925002</v>
      </c>
      <c r="L137" s="3">
        <v>20</v>
      </c>
      <c r="M137" s="3" t="s">
        <v>12</v>
      </c>
      <c r="N137" s="3" t="s">
        <v>8</v>
      </c>
      <c r="O137" s="4">
        <f>Úsporná_opatření[[#This Row],[Potenciál úspor energie v TJ]]*Úsporná_opatření[[#This Row],[Emisní koeficient CO2 '[kg/GJ']]]</f>
        <v>35371.85783506438</v>
      </c>
      <c r="P137" s="4">
        <f>Úsporná_opatření[[#This Row],[Potenciál úspor energie v TJ]]*Úsporná_opatření[[#This Row],[Emisní koeficient CH4 '[g/GJ']]]</f>
        <v>377.90469645332871</v>
      </c>
      <c r="Q137" s="4">
        <f>Úsporná_opatření[[#This Row],[Potenciál úspor energie v TJ]]*Úsporná_opatření[[#This Row],[Emisní koeficient N2O '[g/GJ']]]</f>
        <v>496.03777664840015</v>
      </c>
      <c r="R137" s="4">
        <f>Úsporná_opatření[[#This Row],[Potenciál úspor energie v TJ]]*Úsporná_opatření[[#This Row],[Emisní koeficient CO2 eq '[kg/GJ']]]</f>
        <v>35529.124709916941</v>
      </c>
      <c r="S137" s="7">
        <f>VLOOKUP(Úsporná_opatření[[#This Row],[Šetřený nositel energie]] &amp; "#" &amp; Úsporná_opatření[[#This Row],[Nejpodobnější sektor]],Emiskoef,2,FALSE)</f>
        <v>243.30535699975164</v>
      </c>
      <c r="T137" s="7">
        <f>VLOOKUP(Úsporná_opatření[[#This Row],[Šetřený nositel energie]] &amp; "#" &amp; Úsporná_opatření[[#This Row],[Nejpodobnější sektor]],Emiskoef,3,FALSE)</f>
        <v>2.5994178058499644</v>
      </c>
      <c r="U137" s="7">
        <f>VLOOKUP(Úsporná_opatření[[#This Row],[Šetřený nositel energie]] &amp; "#" &amp; Úsporná_opatření[[#This Row],[Nejpodobnější sektor]],Emiskoef,4,FALSE)</f>
        <v>3.4119963077868793</v>
      </c>
      <c r="V13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37" s="4">
        <f>1000*Úsporná_opatření[[#This Row],[Investice '[Kč/GJ']]]/Úsporná_opatření[[#This Row],[Emisní koeficient CO2 eq '[kg/GJ']]]</f>
        <v>42555.434644022644</v>
      </c>
      <c r="X137" s="7" t="s">
        <v>351</v>
      </c>
    </row>
    <row r="138" spans="2:24" x14ac:dyDescent="0.25">
      <c r="B138" s="3" t="s">
        <v>311</v>
      </c>
      <c r="C138" s="3" t="s">
        <v>79</v>
      </c>
      <c r="D138" s="3" t="s">
        <v>222</v>
      </c>
      <c r="E138" s="3" t="str">
        <f>CONCATENATE(Úsporná_opatření[[#This Row],[Sektor]],Úsporná_opatření[[#This Row],[Opatření]])</f>
        <v>veřejná správaVnější osvětlení - instalace LED</v>
      </c>
      <c r="F138" s="4">
        <v>14400</v>
      </c>
      <c r="G138" s="11">
        <f>VLOOKUP(Úsporná_opatření[[#This Row],[Opatření podrobně]],Potenciál_opatření!$A$1:$C$191,3,0)</f>
        <v>0.25</v>
      </c>
      <c r="H138" s="13">
        <f>Úsporná_opatření[[#This Row],[Potenciál úspor energie v TJ]]*Úsporná_opatření[[#This Row],[Investice '[Kč/GJ']]]*1000</f>
        <v>16747835201.193604</v>
      </c>
      <c r="I138" s="13">
        <f>Úsporná_opatření[[#This Row],[Podíl dotace '[%']]]*Úsporná_opatření[[#This Row],[Investice]]</f>
        <v>4186958800.2984009</v>
      </c>
      <c r="J138" s="3">
        <v>16</v>
      </c>
      <c r="K138" s="12">
        <f>VLOOKUP(Úsporná_opatření[[#This Row],[Opatření podrobně]],Potenciál_opatření!$A$1:$C$191,2,0)</f>
        <v>1163.0441111940002</v>
      </c>
      <c r="L138" s="3">
        <v>20</v>
      </c>
      <c r="M138" s="3" t="s">
        <v>12</v>
      </c>
      <c r="N138" s="3" t="s">
        <v>8</v>
      </c>
      <c r="O138" s="4">
        <f>Úsporná_opatření[[#This Row],[Potenciál úspor energie v TJ]]*Úsporná_opatření[[#This Row],[Emisní koeficient CO2 '[kg/GJ']]]</f>
        <v>282974.86268051504</v>
      </c>
      <c r="P138" s="4">
        <f>Úsporná_opatření[[#This Row],[Potenciál úspor energie v TJ]]*Úsporná_opatření[[#This Row],[Emisní koeficient CH4 '[g/GJ']]]</f>
        <v>3023.2375716266297</v>
      </c>
      <c r="Q138" s="4">
        <f>Úsporná_opatření[[#This Row],[Potenciál úspor energie v TJ]]*Úsporná_opatření[[#This Row],[Emisní koeficient N2O '[g/GJ']]]</f>
        <v>3968.3022131872012</v>
      </c>
      <c r="R138" s="4">
        <f>Úsporná_opatření[[#This Row],[Potenciál úspor energie v TJ]]*Úsporná_opatření[[#This Row],[Emisní koeficient CO2 eq '[kg/GJ']]]</f>
        <v>284232.99767933553</v>
      </c>
      <c r="S138" s="7">
        <f>VLOOKUP(Úsporná_opatření[[#This Row],[Šetřený nositel energie]] &amp; "#" &amp; Úsporná_opatření[[#This Row],[Nejpodobnější sektor]],Emiskoef,2,FALSE)</f>
        <v>243.30535699975164</v>
      </c>
      <c r="T138" s="7">
        <f>VLOOKUP(Úsporná_opatření[[#This Row],[Šetřený nositel energie]] &amp; "#" &amp; Úsporná_opatření[[#This Row],[Nejpodobnější sektor]],Emiskoef,3,FALSE)</f>
        <v>2.5994178058499644</v>
      </c>
      <c r="U138" s="7">
        <f>VLOOKUP(Úsporná_opatření[[#This Row],[Šetřený nositel energie]] &amp; "#" &amp; Úsporná_opatření[[#This Row],[Nejpodobnější sektor]],Emiskoef,4,FALSE)</f>
        <v>3.4119963077868793</v>
      </c>
      <c r="V13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38" s="4">
        <f>1000*Úsporná_opatření[[#This Row],[Investice '[Kč/GJ']]]/Úsporná_opatření[[#This Row],[Emisní koeficient CO2 eq '[kg/GJ']]]</f>
        <v>58922.90950710827</v>
      </c>
      <c r="X138" s="7" t="s">
        <v>352</v>
      </c>
    </row>
    <row r="139" spans="2:24" x14ac:dyDescent="0.25">
      <c r="B139" s="3" t="s">
        <v>311</v>
      </c>
      <c r="C139" s="3" t="s">
        <v>79</v>
      </c>
      <c r="D139" s="3" t="s">
        <v>248</v>
      </c>
      <c r="E139" s="3" t="str">
        <f>CONCATENATE(Úsporná_opatření[[#This Row],[Sektor]],Úsporná_opatření[[#This Row],[Opatření]])</f>
        <v>veřejná správaVnější osvětlení - instalace LED</v>
      </c>
      <c r="F139" s="4">
        <v>19200</v>
      </c>
      <c r="G139" s="11">
        <f>VLOOKUP(Úsporná_opatření[[#This Row],[Opatření podrobně]],Potenciál_opatření!$A$1:$C$191,3,0)</f>
        <v>0.6</v>
      </c>
      <c r="H139" s="13">
        <f>Úsporná_opatření[[#This Row],[Potenciál úspor energie v TJ]]*Úsporná_opatření[[#This Row],[Investice '[Kč/GJ']]]*1000</f>
        <v>2791305866.8656006</v>
      </c>
      <c r="I139" s="13">
        <f>Úsporná_opatření[[#This Row],[Podíl dotace '[%']]]*Úsporná_opatření[[#This Row],[Investice]]</f>
        <v>1674783520.1193602</v>
      </c>
      <c r="J139" s="3">
        <v>30</v>
      </c>
      <c r="K139" s="12">
        <f>VLOOKUP(Úsporná_opatření[[#This Row],[Opatření podrobně]],Potenciál_opatření!$A$1:$C$191,2,0)</f>
        <v>145.38051389925002</v>
      </c>
      <c r="L139" s="3">
        <v>20</v>
      </c>
      <c r="M139" s="3" t="s">
        <v>12</v>
      </c>
      <c r="N139" s="3" t="s">
        <v>8</v>
      </c>
      <c r="O139" s="4">
        <f>Úsporná_opatření[[#This Row],[Potenciál úspor energie v TJ]]*Úsporná_opatření[[#This Row],[Emisní koeficient CO2 '[kg/GJ']]]</f>
        <v>35371.85783506438</v>
      </c>
      <c r="P139" s="4">
        <f>Úsporná_opatření[[#This Row],[Potenciál úspor energie v TJ]]*Úsporná_opatření[[#This Row],[Emisní koeficient CH4 '[g/GJ']]]</f>
        <v>377.90469645332871</v>
      </c>
      <c r="Q139" s="4">
        <f>Úsporná_opatření[[#This Row],[Potenciál úspor energie v TJ]]*Úsporná_opatření[[#This Row],[Emisní koeficient N2O '[g/GJ']]]</f>
        <v>496.03777664840015</v>
      </c>
      <c r="R139" s="4">
        <f>Úsporná_opatření[[#This Row],[Potenciál úspor energie v TJ]]*Úsporná_opatření[[#This Row],[Emisní koeficient CO2 eq '[kg/GJ']]]</f>
        <v>35529.124709916941</v>
      </c>
      <c r="S139" s="7">
        <f>VLOOKUP(Úsporná_opatření[[#This Row],[Šetřený nositel energie]] &amp; "#" &amp; Úsporná_opatření[[#This Row],[Nejpodobnější sektor]],Emiskoef,2,FALSE)</f>
        <v>243.30535699975164</v>
      </c>
      <c r="T139" s="7">
        <f>VLOOKUP(Úsporná_opatření[[#This Row],[Šetřený nositel energie]] &amp; "#" &amp; Úsporná_opatření[[#This Row],[Nejpodobnější sektor]],Emiskoef,3,FALSE)</f>
        <v>2.5994178058499644</v>
      </c>
      <c r="U139" s="7">
        <f>VLOOKUP(Úsporná_opatření[[#This Row],[Šetřený nositel energie]] &amp; "#" &amp; Úsporná_opatření[[#This Row],[Nejpodobnější sektor]],Emiskoef,4,FALSE)</f>
        <v>3.4119963077868793</v>
      </c>
      <c r="V13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39" s="4">
        <f>1000*Úsporná_opatření[[#This Row],[Investice '[Kč/GJ']]]/Úsporná_opatření[[#This Row],[Emisní koeficient CO2 eq '[kg/GJ']]]</f>
        <v>78563.879342811037</v>
      </c>
      <c r="X139" s="7" t="s">
        <v>353</v>
      </c>
    </row>
    <row r="140" spans="2:24" x14ac:dyDescent="0.25">
      <c r="B140" s="3" t="s">
        <v>4</v>
      </c>
      <c r="C140" s="3" t="s">
        <v>73</v>
      </c>
      <c r="D140" s="3" t="s">
        <v>146</v>
      </c>
      <c r="E140" s="3" t="str">
        <f>CONCATENATE(Úsporná_opatření[[#This Row],[Sektor]],Úsporná_opatření[[#This Row],[Opatření]])</f>
        <v>PrůmyslVýměna osvětlení LED80 za LED110</v>
      </c>
      <c r="F140" s="4">
        <v>1750</v>
      </c>
      <c r="G140" s="11">
        <f>VLOOKUP(Úsporná_opatření[[#This Row],[Opatření podrobně]],Potenciál_opatření!$A$1:$C$191,3,0)</f>
        <v>0</v>
      </c>
      <c r="H140" s="13">
        <f>Úsporná_opatření[[#This Row],[Potenciál úspor energie v TJ]]*Úsporná_opatření[[#This Row],[Investice '[Kč/GJ']]]*1000</f>
        <v>48634712.485746332</v>
      </c>
      <c r="I140" s="13">
        <f>Úsporná_opatření[[#This Row],[Podíl dotace '[%']]]*Úsporná_opatření[[#This Row],[Investice]]</f>
        <v>0</v>
      </c>
      <c r="J140" s="3">
        <v>5</v>
      </c>
      <c r="K140" s="12">
        <f>VLOOKUP(Úsporná_opatření[[#This Row],[Opatření podrobně]],Potenciál_opatření!$A$1:$C$191,2,0)</f>
        <v>27.791264277569333</v>
      </c>
      <c r="L140" s="3">
        <v>8</v>
      </c>
      <c r="M140" s="3" t="s">
        <v>12</v>
      </c>
      <c r="N140" s="3" t="s">
        <v>4</v>
      </c>
      <c r="O140" s="4">
        <f>Úsporná_opatření[[#This Row],[Potenciál úspor energie v TJ]]*Úsporná_opatření[[#This Row],[Emisní koeficient CO2 '[kg/GJ']]]</f>
        <v>6761.7634765284511</v>
      </c>
      <c r="P140" s="4">
        <f>Úsporná_opatření[[#This Row],[Potenciál úspor energie v TJ]]*Úsporná_opatření[[#This Row],[Emisní koeficient CH4 '[g/GJ']]]</f>
        <v>72.241107210195764</v>
      </c>
      <c r="Q140" s="4">
        <f>Úsporná_opatření[[#This Row],[Potenciál úspor energie v TJ]]*Úsporná_opatření[[#This Row],[Emisní koeficient N2O '[g/GJ']]]</f>
        <v>94.823691103795952</v>
      </c>
      <c r="R140" s="4">
        <f>Úsporná_opatření[[#This Row],[Potenciál úspor energie v TJ]]*Úsporná_opatření[[#This Row],[Emisní koeficient CO2 eq '[kg/GJ']]]</f>
        <v>6791.826964157638</v>
      </c>
      <c r="S140" s="7">
        <f>VLOOKUP(Úsporná_opatření[[#This Row],[Šetřený nositel energie]] &amp; "#" &amp; Úsporná_opatření[[#This Row],[Nejpodobnější sektor]],Emiskoef,2,FALSE)</f>
        <v>243.30535699975164</v>
      </c>
      <c r="T140" s="7">
        <f>VLOOKUP(Úsporná_opatření[[#This Row],[Šetřený nositel energie]] &amp; "#" &amp; Úsporná_opatření[[#This Row],[Nejpodobnější sektor]],Emiskoef,3,FALSE)</f>
        <v>2.5994178058499644</v>
      </c>
      <c r="U140" s="7">
        <f>VLOOKUP(Úsporná_opatření[[#This Row],[Šetřený nositel energie]] &amp; "#" &amp; Úsporná_opatření[[#This Row],[Nejpodobnější sektor]],Emiskoef,4,FALSE)</f>
        <v>3.4119963077868793</v>
      </c>
      <c r="V14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0" s="4">
        <f>1000*Úsporná_opatření[[#This Row],[Investice '[Kč/GJ']]]/Úsporná_opatření[[#This Row],[Emisní koeficient CO2 eq '[kg/GJ']]]</f>
        <v>7160.7702525999639</v>
      </c>
      <c r="X140" s="7" t="s">
        <v>351</v>
      </c>
    </row>
    <row r="141" spans="2:24" x14ac:dyDescent="0.25">
      <c r="B141" s="3" t="s">
        <v>19</v>
      </c>
      <c r="C141" s="3" t="s">
        <v>73</v>
      </c>
      <c r="D141" s="3" t="s">
        <v>153</v>
      </c>
      <c r="E141" s="3" t="str">
        <f>CONCATENATE(Úsporná_opatření[[#This Row],[Sektor]],Úsporná_opatření[[#This Row],[Opatření]])</f>
        <v>DopravaVýměna osvětlení LED80 za LED110</v>
      </c>
      <c r="F141" s="4">
        <v>2100</v>
      </c>
      <c r="G141" s="11">
        <f>VLOOKUP(Úsporná_opatření[[#This Row],[Opatření podrobně]],Potenciál_opatření!$A$1:$C$191,3,0)</f>
        <v>0</v>
      </c>
      <c r="H141" s="13">
        <f>Úsporná_opatření[[#This Row],[Potenciál úspor energie v TJ]]*Úsporná_opatření[[#This Row],[Investice '[Kč/GJ']]]*1000</f>
        <v>6752732.684521026</v>
      </c>
      <c r="I141" s="13">
        <f>Úsporná_opatření[[#This Row],[Podíl dotace '[%']]]*Úsporná_opatření[[#This Row],[Investice]]</f>
        <v>0</v>
      </c>
      <c r="J141" s="3">
        <v>5</v>
      </c>
      <c r="K141" s="12">
        <f>VLOOKUP(Úsporná_opatření[[#This Row],[Opatření podrobně]],Potenciál_opatření!$A$1:$C$191,2,0)</f>
        <v>3.2155869926290603</v>
      </c>
      <c r="L141" s="3">
        <v>8</v>
      </c>
      <c r="M141" s="3" t="s">
        <v>12</v>
      </c>
      <c r="N141" s="3" t="s">
        <v>283</v>
      </c>
      <c r="O141" s="4">
        <f>Úsporná_opatření[[#This Row],[Potenciál úspor energie v TJ]]*Úsporná_opatření[[#This Row],[Emisní koeficient CO2 '[kg/GJ']]]</f>
        <v>782.36954120537132</v>
      </c>
      <c r="P141" s="4">
        <f>Úsporná_opatření[[#This Row],[Potenciál úspor energie v TJ]]*Úsporná_opatření[[#This Row],[Emisní koeficient CH4 '[g/GJ']]]</f>
        <v>8.3586540848995181</v>
      </c>
      <c r="Q141" s="4">
        <f>Úsporná_opatření[[#This Row],[Potenciál úspor energie v TJ]]*Úsporná_opatření[[#This Row],[Emisní koeficient N2O '[g/GJ']]]</f>
        <v>10.971570946217868</v>
      </c>
      <c r="R141" s="4">
        <f>Úsporná_opatření[[#This Row],[Potenciál úspor energie v TJ]]*Úsporná_opatření[[#This Row],[Emisní koeficient CO2 eq '[kg/GJ']]]</f>
        <v>785.84803569946666</v>
      </c>
      <c r="S141" s="7">
        <f>VLOOKUP(Úsporná_opatření[[#This Row],[Šetřený nositel energie]] &amp; "#" &amp; Úsporná_opatření[[#This Row],[Nejpodobnější sektor]],Emiskoef,2,FALSE)</f>
        <v>243.30535699975164</v>
      </c>
      <c r="T141" s="7">
        <f>VLOOKUP(Úsporná_opatření[[#This Row],[Šetřený nositel energie]] &amp; "#" &amp; Úsporná_opatření[[#This Row],[Nejpodobnější sektor]],Emiskoef,3,FALSE)</f>
        <v>2.5994178058499644</v>
      </c>
      <c r="U141" s="7">
        <f>VLOOKUP(Úsporná_opatření[[#This Row],[Šetřený nositel energie]] &amp; "#" &amp; Úsporná_opatření[[#This Row],[Nejpodobnější sektor]],Emiskoef,4,FALSE)</f>
        <v>3.4119963077868793</v>
      </c>
      <c r="V14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1" s="4">
        <f>1000*Úsporná_opatření[[#This Row],[Investice '[Kč/GJ']]]/Úsporná_opatření[[#This Row],[Emisní koeficient CO2 eq '[kg/GJ']]]</f>
        <v>8592.9243031199567</v>
      </c>
      <c r="X141" s="7" t="s">
        <v>351</v>
      </c>
    </row>
    <row r="142" spans="2:24" x14ac:dyDescent="0.25">
      <c r="B142" s="3" t="s">
        <v>4</v>
      </c>
      <c r="C142" s="3" t="s">
        <v>73</v>
      </c>
      <c r="D142" s="3" t="s">
        <v>164</v>
      </c>
      <c r="E142" s="3" t="str">
        <f>CONCATENATE(Úsporná_opatření[[#This Row],[Sektor]],Úsporná_opatření[[#This Row],[Opatření]])</f>
        <v>PrůmyslVýměna osvětlení LED80 za LED110</v>
      </c>
      <c r="F142" s="4">
        <v>2450</v>
      </c>
      <c r="G142" s="11">
        <f>VLOOKUP(Úsporná_opatření[[#This Row],[Opatření podrobně]],Potenciál_opatření!$A$1:$C$191,3,0)</f>
        <v>0.2857142857142857</v>
      </c>
      <c r="H142" s="13">
        <f>Úsporná_opatření[[#This Row],[Potenciál úspor energie v TJ]]*Úsporná_opatření[[#This Row],[Investice '[Kč/GJ']]]*1000</f>
        <v>1021328962.2006729</v>
      </c>
      <c r="I142" s="13">
        <f>Úsporná_opatření[[#This Row],[Podíl dotace '[%']]]*Úsporná_opatření[[#This Row],[Investice]]</f>
        <v>291808274.91447794</v>
      </c>
      <c r="J142" s="3">
        <v>7</v>
      </c>
      <c r="K142" s="12">
        <f>VLOOKUP(Úsporná_opatření[[#This Row],[Opatření podrobně]],Potenciál_opatření!$A$1:$C$191,2,0)</f>
        <v>416.86896416353994</v>
      </c>
      <c r="L142" s="3">
        <v>8</v>
      </c>
      <c r="M142" s="3" t="s">
        <v>12</v>
      </c>
      <c r="N142" s="3" t="s">
        <v>4</v>
      </c>
      <c r="O142" s="4">
        <f>Úsporná_opatření[[#This Row],[Potenciál úspor energie v TJ]]*Úsporná_opatření[[#This Row],[Emisní koeficient CO2 '[kg/GJ']]]</f>
        <v>101426.45214792676</v>
      </c>
      <c r="P142" s="4">
        <f>Úsporná_opatření[[#This Row],[Potenciál úspor energie v TJ]]*Úsporná_opatření[[#This Row],[Emisní koeficient CH4 '[g/GJ']]]</f>
        <v>1083.6166081529364</v>
      </c>
      <c r="Q142" s="4">
        <f>Úsporná_opatření[[#This Row],[Potenciál úspor energie v TJ]]*Úsporná_opatření[[#This Row],[Emisní koeficient N2O '[g/GJ']]]</f>
        <v>1422.3553665569393</v>
      </c>
      <c r="R142" s="4">
        <f>Úsporná_opatření[[#This Row],[Potenciál úspor energie v TJ]]*Úsporná_opatření[[#This Row],[Emisní koeficient CO2 eq '[kg/GJ']]]</f>
        <v>101877.40446236456</v>
      </c>
      <c r="S142" s="7">
        <f>VLOOKUP(Úsporná_opatření[[#This Row],[Šetřený nositel energie]] &amp; "#" &amp; Úsporná_opatření[[#This Row],[Nejpodobnější sektor]],Emiskoef,2,FALSE)</f>
        <v>243.30535699975164</v>
      </c>
      <c r="T142" s="7">
        <f>VLOOKUP(Úsporná_opatření[[#This Row],[Šetřený nositel energie]] &amp; "#" &amp; Úsporná_opatření[[#This Row],[Nejpodobnější sektor]],Emiskoef,3,FALSE)</f>
        <v>2.5994178058499644</v>
      </c>
      <c r="U142" s="7">
        <f>VLOOKUP(Úsporná_opatření[[#This Row],[Šetřený nositel energie]] &amp; "#" &amp; Úsporná_opatření[[#This Row],[Nejpodobnější sektor]],Emiskoef,4,FALSE)</f>
        <v>3.4119963077868793</v>
      </c>
      <c r="V14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2" s="4">
        <f>1000*Úsporná_opatření[[#This Row],[Investice '[Kč/GJ']]]/Úsporná_opatření[[#This Row],[Emisní koeficient CO2 eq '[kg/GJ']]]</f>
        <v>10025.078353639949</v>
      </c>
      <c r="X142" s="7" t="s">
        <v>352</v>
      </c>
    </row>
    <row r="143" spans="2:24" x14ac:dyDescent="0.25">
      <c r="B143" s="3" t="s">
        <v>42</v>
      </c>
      <c r="C143" s="3" t="s">
        <v>73</v>
      </c>
      <c r="D143" s="3" t="s">
        <v>200</v>
      </c>
      <c r="E143" s="3" t="str">
        <f>CONCATENATE(Úsporná_opatření[[#This Row],[Sektor]],Úsporná_opatření[[#This Row],[Opatření]])</f>
        <v>ZemědělstvíVýměna osvětlení LED80 za LED110</v>
      </c>
      <c r="F143" s="4">
        <v>4550</v>
      </c>
      <c r="G143" s="11">
        <f>VLOOKUP(Úsporná_opatření[[#This Row],[Opatření podrobně]],Potenciál_opatření!$A$1:$C$191,3,0)</f>
        <v>0</v>
      </c>
      <c r="H143" s="13">
        <f>Úsporná_opatření[[#This Row],[Potenciál úspor energie v TJ]]*Úsporná_opatření[[#This Row],[Investice '[Kč/GJ']]]*1000</f>
        <v>35136435.421823323</v>
      </c>
      <c r="I143" s="13">
        <f>Úsporná_opatření[[#This Row],[Podíl dotace '[%']]]*Úsporná_opatření[[#This Row],[Investice]]</f>
        <v>0</v>
      </c>
      <c r="J143" s="3">
        <v>5</v>
      </c>
      <c r="K143" s="12">
        <f>VLOOKUP(Úsporná_opatření[[#This Row],[Opatření podrobně]],Potenciál_opatření!$A$1:$C$191,2,0)</f>
        <v>7.722293499301828</v>
      </c>
      <c r="L143" s="3">
        <v>8</v>
      </c>
      <c r="M143" s="3" t="s">
        <v>12</v>
      </c>
      <c r="N143" s="3" t="s">
        <v>4</v>
      </c>
      <c r="O143" s="4">
        <f>Úsporná_opatření[[#This Row],[Potenciál úspor energie v TJ]]*Úsporná_opatření[[#This Row],[Emisní koeficient CO2 '[kg/GJ']]]</f>
        <v>1878.8753767044925</v>
      </c>
      <c r="P143" s="4">
        <f>Úsporná_opatření[[#This Row],[Potenciál úspor energie v TJ]]*Úsporná_opatření[[#This Row],[Emisní koeficient CH4 '[g/GJ']]]</f>
        <v>20.073467224084602</v>
      </c>
      <c r="Q143" s="4">
        <f>Úsporná_opatření[[#This Row],[Potenciál úspor energie v TJ]]*Úsporná_opatření[[#This Row],[Emisní koeficient N2O '[g/GJ']]]</f>
        <v>26.348436907264457</v>
      </c>
      <c r="R143" s="4">
        <f>Úsporná_opatření[[#This Row],[Potenciál úspor energie v TJ]]*Úsporná_opatření[[#This Row],[Emisní koeficient CO2 eq '[kg/GJ']]]</f>
        <v>1887.2290475834595</v>
      </c>
      <c r="S143" s="7">
        <f>VLOOKUP(Úsporná_opatření[[#This Row],[Šetřený nositel energie]] &amp; "#" &amp; Úsporná_opatření[[#This Row],[Nejpodobnější sektor]],Emiskoef,2,FALSE)</f>
        <v>243.30535699975164</v>
      </c>
      <c r="T143" s="7">
        <f>VLOOKUP(Úsporná_opatření[[#This Row],[Šetřený nositel energie]] &amp; "#" &amp; Úsporná_opatření[[#This Row],[Nejpodobnější sektor]],Emiskoef,3,FALSE)</f>
        <v>2.5994178058499644</v>
      </c>
      <c r="U143" s="7">
        <f>VLOOKUP(Úsporná_opatření[[#This Row],[Šetřený nositel energie]] &amp; "#" &amp; Úsporná_opatření[[#This Row],[Nejpodobnější sektor]],Emiskoef,4,FALSE)</f>
        <v>3.4119963077868793</v>
      </c>
      <c r="V14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3" s="4">
        <f>1000*Úsporná_opatření[[#This Row],[Investice '[Kč/GJ']]]/Úsporná_opatření[[#This Row],[Emisní koeficient CO2 eq '[kg/GJ']]]</f>
        <v>18618.002656759905</v>
      </c>
      <c r="X143" s="7" t="s">
        <v>351</v>
      </c>
    </row>
    <row r="144" spans="2:24" x14ac:dyDescent="0.25">
      <c r="B144" s="3" t="s">
        <v>6</v>
      </c>
      <c r="C144" s="3" t="s">
        <v>73</v>
      </c>
      <c r="D144" s="3" t="s">
        <v>201</v>
      </c>
      <c r="E144" s="3" t="str">
        <f>CONCATENATE(Úsporná_opatření[[#This Row],[Sektor]],Úsporná_opatření[[#This Row],[Opatření]])</f>
        <v>SlužbyVýměna osvětlení LED80 za LED110</v>
      </c>
      <c r="F144" s="4">
        <v>4550</v>
      </c>
      <c r="G144" s="11">
        <f>VLOOKUP(Úsporná_opatření[[#This Row],[Opatření podrobně]],Potenciál_opatření!$A$1:$C$191,3,0)</f>
        <v>0</v>
      </c>
      <c r="H144" s="13">
        <f>Úsporná_opatření[[#This Row],[Potenciál úspor energie v TJ]]*Úsporná_opatření[[#This Row],[Investice '[Kč/GJ']]]*1000</f>
        <v>453374957.94037396</v>
      </c>
      <c r="I144" s="13">
        <f>Úsporná_opatření[[#This Row],[Podíl dotace '[%']]]*Úsporná_opatření[[#This Row],[Investice]]</f>
        <v>0</v>
      </c>
      <c r="J144" s="3">
        <v>5</v>
      </c>
      <c r="K144" s="12">
        <f>VLOOKUP(Úsporná_opatření[[#This Row],[Opatření podrobně]],Potenciál_opatření!$A$1:$C$191,2,0)</f>
        <v>99.642847898983291</v>
      </c>
      <c r="L144" s="3">
        <v>8</v>
      </c>
      <c r="M144" s="3" t="s">
        <v>12</v>
      </c>
      <c r="N144" s="3" t="s">
        <v>6</v>
      </c>
      <c r="O144" s="4">
        <f>Úsporná_opatření[[#This Row],[Potenciál úspor energie v TJ]]*Úsporná_opatření[[#This Row],[Emisní koeficient CO2 '[kg/GJ']]]</f>
        <v>24243.638680534081</v>
      </c>
      <c r="P144" s="4">
        <f>Úsporná_opatření[[#This Row],[Potenciál úspor energie v TJ]]*Úsporná_opatření[[#This Row],[Emisní koeficient CH4 '[g/GJ']]]</f>
        <v>259.01339305421686</v>
      </c>
      <c r="Q144" s="4">
        <f>Úsporná_opatření[[#This Row],[Potenciál úspor energie v TJ]]*Úsporná_opatření[[#This Row],[Emisní koeficient N2O '[g/GJ']]]</f>
        <v>339.98102912870058</v>
      </c>
      <c r="R144" s="4">
        <f>Úsporná_opatření[[#This Row],[Potenciál úspor energie v TJ]]*Úsporná_opatření[[#This Row],[Emisní koeficient CO2 eq '[kg/GJ']]]</f>
        <v>24351.428362040791</v>
      </c>
      <c r="S144" s="7">
        <f>VLOOKUP(Úsporná_opatření[[#This Row],[Šetřený nositel energie]] &amp; "#" &amp; Úsporná_opatření[[#This Row],[Nejpodobnější sektor]],Emiskoef,2,FALSE)</f>
        <v>243.30535699975164</v>
      </c>
      <c r="T144" s="7">
        <f>VLOOKUP(Úsporná_opatření[[#This Row],[Šetřený nositel energie]] &amp; "#" &amp; Úsporná_opatření[[#This Row],[Nejpodobnější sektor]],Emiskoef,3,FALSE)</f>
        <v>2.5994178058499644</v>
      </c>
      <c r="U144" s="7">
        <f>VLOOKUP(Úsporná_opatření[[#This Row],[Šetřený nositel energie]] &amp; "#" &amp; Úsporná_opatření[[#This Row],[Nejpodobnější sektor]],Emiskoef,4,FALSE)</f>
        <v>3.4119963077868793</v>
      </c>
      <c r="V14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4" s="4">
        <f>1000*Úsporná_opatření[[#This Row],[Investice '[Kč/GJ']]]/Úsporná_opatření[[#This Row],[Emisní koeficient CO2 eq '[kg/GJ']]]</f>
        <v>18618.002656759905</v>
      </c>
      <c r="X144" s="7" t="s">
        <v>351</v>
      </c>
    </row>
    <row r="145" spans="2:24" x14ac:dyDescent="0.25">
      <c r="B145" s="3" t="s">
        <v>311</v>
      </c>
      <c r="C145" s="3" t="s">
        <v>73</v>
      </c>
      <c r="D145" s="3" t="s">
        <v>202</v>
      </c>
      <c r="E145" s="3" t="str">
        <f>CONCATENATE(Úsporná_opatření[[#This Row],[Sektor]],Úsporná_opatření[[#This Row],[Opatření]])</f>
        <v>veřejná správaVýměna osvětlení LED80 za LED110</v>
      </c>
      <c r="F145" s="4">
        <v>4550</v>
      </c>
      <c r="G145" s="11">
        <f>VLOOKUP(Úsporná_opatření[[#This Row],[Opatření podrobně]],Potenciál_opatření!$A$1:$C$191,3,0)</f>
        <v>0</v>
      </c>
      <c r="H145" s="13">
        <f>Úsporná_opatření[[#This Row],[Potenciál úspor energie v TJ]]*Úsporná_opatření[[#This Row],[Investice '[Kč/GJ']]]*1000</f>
        <v>358106978.59152865</v>
      </c>
      <c r="I145" s="13">
        <f>Úsporná_opatření[[#This Row],[Podíl dotace '[%']]]*Úsporná_opatření[[#This Row],[Investice]]</f>
        <v>0</v>
      </c>
      <c r="J145" s="3">
        <v>5</v>
      </c>
      <c r="K145" s="12">
        <f>VLOOKUP(Úsporná_opatření[[#This Row],[Opatření podrobně]],Potenciál_opatření!$A$1:$C$191,2,0)</f>
        <v>78.704830459676629</v>
      </c>
      <c r="L145" s="3">
        <v>8</v>
      </c>
      <c r="M145" s="3" t="s">
        <v>12</v>
      </c>
      <c r="N145" s="3" t="s">
        <v>8</v>
      </c>
      <c r="O145" s="4">
        <f>Úsporná_opatření[[#This Row],[Potenciál úspor energie v TJ]]*Úsporná_opatření[[#This Row],[Emisní koeficient CO2 '[kg/GJ']]]</f>
        <v>19149.30687259655</v>
      </c>
      <c r="P145" s="4">
        <f>Úsporná_opatření[[#This Row],[Potenciál úspor energie v TJ]]*Úsporná_opatření[[#This Row],[Emisní koeficient CH4 '[g/GJ']]]</f>
        <v>204.58673770328608</v>
      </c>
      <c r="Q145" s="4">
        <f>Úsporná_opatření[[#This Row],[Potenciál úspor energie v TJ]]*Úsporná_opatření[[#This Row],[Emisní koeficient N2O '[g/GJ']]]</f>
        <v>268.54059093340896</v>
      </c>
      <c r="R145" s="4">
        <f>Úsporná_opatření[[#This Row],[Potenciál úspor energie v TJ]]*Úsporná_opatření[[#This Row],[Emisní koeficient CO2 eq '[kg/GJ']]]</f>
        <v>19234.446637137287</v>
      </c>
      <c r="S145" s="7">
        <f>VLOOKUP(Úsporná_opatření[[#This Row],[Šetřený nositel energie]] &amp; "#" &amp; Úsporná_opatření[[#This Row],[Nejpodobnější sektor]],Emiskoef,2,FALSE)</f>
        <v>243.30535699975164</v>
      </c>
      <c r="T145" s="7">
        <f>VLOOKUP(Úsporná_opatření[[#This Row],[Šetřený nositel energie]] &amp; "#" &amp; Úsporná_opatření[[#This Row],[Nejpodobnější sektor]],Emiskoef,3,FALSE)</f>
        <v>2.5994178058499644</v>
      </c>
      <c r="U145" s="7">
        <f>VLOOKUP(Úsporná_opatření[[#This Row],[Šetřený nositel energie]] &amp; "#" &amp; Úsporná_opatření[[#This Row],[Nejpodobnější sektor]],Emiskoef,4,FALSE)</f>
        <v>3.4119963077868793</v>
      </c>
      <c r="V14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5" s="4">
        <f>1000*Úsporná_opatření[[#This Row],[Investice '[Kč/GJ']]]/Úsporná_opatření[[#This Row],[Emisní koeficient CO2 eq '[kg/GJ']]]</f>
        <v>18618.002656759905</v>
      </c>
      <c r="X145" s="7" t="s">
        <v>351</v>
      </c>
    </row>
    <row r="146" spans="2:24" x14ac:dyDescent="0.25">
      <c r="B146" s="3" t="s">
        <v>7</v>
      </c>
      <c r="C146" s="3" t="s">
        <v>73</v>
      </c>
      <c r="D146" s="3" t="s">
        <v>219</v>
      </c>
      <c r="E146" s="3" t="str">
        <f>CONCATENATE(Úsporná_opatření[[#This Row],[Sektor]],Úsporná_opatření[[#This Row],[Opatření]])</f>
        <v>DomácnostiVýměna osvětlení LED80 za LED110</v>
      </c>
      <c r="F146" s="4">
        <v>5460</v>
      </c>
      <c r="G146" s="11">
        <f>VLOOKUP(Úsporná_opatření[[#This Row],[Opatření podrobně]],Potenciál_opatření!$A$1:$C$191,3,0)</f>
        <v>0</v>
      </c>
      <c r="H146" s="13">
        <f>Úsporná_opatření[[#This Row],[Potenciál úspor energie v TJ]]*Úsporná_opatření[[#This Row],[Investice '[Kč/GJ']]]*1000</f>
        <v>627667260.71244502</v>
      </c>
      <c r="I146" s="13">
        <f>Úsporná_opatření[[#This Row],[Podíl dotace '[%']]]*Úsporná_opatření[[#This Row],[Investice]]</f>
        <v>0</v>
      </c>
      <c r="J146" s="3">
        <v>5</v>
      </c>
      <c r="K146" s="12">
        <f>VLOOKUP(Úsporná_opatření[[#This Row],[Opatření podrobně]],Potenciál_opatření!$A$1:$C$191,2,0)</f>
        <v>114.95737375685806</v>
      </c>
      <c r="L146" s="3">
        <v>8</v>
      </c>
      <c r="M146" s="3" t="s">
        <v>12</v>
      </c>
      <c r="N146" s="3" t="s">
        <v>7</v>
      </c>
      <c r="O146" s="4">
        <f>Úsporná_opatření[[#This Row],[Potenciál úspor energie v TJ]]*Úsporná_opatření[[#This Row],[Emisní koeficient CO2 '[kg/GJ']]]</f>
        <v>27969.74486166623</v>
      </c>
      <c r="P146" s="4">
        <f>Úsporná_opatření[[#This Row],[Potenciál úspor energie v TJ]]*Úsporná_opatření[[#This Row],[Emisní koeficient CH4 '[g/GJ']]]</f>
        <v>298.82224425732625</v>
      </c>
      <c r="Q146" s="4">
        <f>Úsporná_opatření[[#This Row],[Potenciál úspor energie v TJ]]*Úsporná_opatření[[#This Row],[Emisní koeficient N2O '[g/GJ']]]</f>
        <v>392.23413481127602</v>
      </c>
      <c r="R146" s="4">
        <f>Úsporná_opatření[[#This Row],[Potenciál úspor energie v TJ]]*Úsporná_opatření[[#This Row],[Emisní koeficient CO2 eq '[kg/GJ']]]</f>
        <v>28094.101189946425</v>
      </c>
      <c r="S146" s="7">
        <f>VLOOKUP(Úsporná_opatření[[#This Row],[Šetřený nositel energie]] &amp; "#" &amp; Úsporná_opatření[[#This Row],[Nejpodobnější sektor]],Emiskoef,2,FALSE)</f>
        <v>243.30535699975164</v>
      </c>
      <c r="T146" s="7">
        <f>VLOOKUP(Úsporná_opatření[[#This Row],[Šetřený nositel energie]] &amp; "#" &amp; Úsporná_opatření[[#This Row],[Nejpodobnější sektor]],Emiskoef,3,FALSE)</f>
        <v>2.5994178058499644</v>
      </c>
      <c r="U146" s="7">
        <f>VLOOKUP(Úsporná_opatření[[#This Row],[Šetřený nositel energie]] &amp; "#" &amp; Úsporná_opatření[[#This Row],[Nejpodobnější sektor]],Emiskoef,4,FALSE)</f>
        <v>3.4119963077868793</v>
      </c>
      <c r="V14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6" s="4">
        <f>1000*Úsporná_opatření[[#This Row],[Investice '[Kč/GJ']]]/Úsporná_opatření[[#This Row],[Emisní koeficient CO2 eq '[kg/GJ']]]</f>
        <v>22341.603188111887</v>
      </c>
      <c r="X146" s="7" t="s">
        <v>351</v>
      </c>
    </row>
    <row r="147" spans="2:24" x14ac:dyDescent="0.25">
      <c r="B147" s="3" t="s">
        <v>42</v>
      </c>
      <c r="C147" s="3" t="s">
        <v>73</v>
      </c>
      <c r="D147" s="3" t="s">
        <v>231</v>
      </c>
      <c r="E147" s="3" t="str">
        <f>CONCATENATE(Úsporná_opatření[[#This Row],[Sektor]],Úsporná_opatření[[#This Row],[Opatření]])</f>
        <v>ZemědělstvíVýměna osvětlení LED80 za LED110</v>
      </c>
      <c r="F147" s="4">
        <v>6300</v>
      </c>
      <c r="G147" s="11">
        <f>VLOOKUP(Úsporná_opatření[[#This Row],[Opatření podrobně]],Potenciál_opatření!$A$1:$C$191,3,0)</f>
        <v>0.2857142857142857</v>
      </c>
      <c r="H147" s="13">
        <f>Úsporná_opatření[[#This Row],[Potenciál úspor energie v TJ]]*Úsporná_opatření[[#This Row],[Investice '[Kč/GJ']]]*1000</f>
        <v>729756735.68402267</v>
      </c>
      <c r="I147" s="13">
        <f>Úsporná_opatření[[#This Row],[Podíl dotace '[%']]]*Úsporná_opatření[[#This Row],[Investice]]</f>
        <v>208501924.48114932</v>
      </c>
      <c r="J147" s="3">
        <v>7</v>
      </c>
      <c r="K147" s="12">
        <f>VLOOKUP(Úsporná_opatření[[#This Row],[Opatření podrobně]],Potenciál_opatření!$A$1:$C$191,2,0)</f>
        <v>115.83440248952741</v>
      </c>
      <c r="L147" s="3">
        <v>8</v>
      </c>
      <c r="M147" s="3" t="s">
        <v>12</v>
      </c>
      <c r="N147" s="3" t="s">
        <v>4</v>
      </c>
      <c r="O147" s="4">
        <f>Úsporná_opatření[[#This Row],[Potenciál úspor energie v TJ]]*Úsporná_opatření[[#This Row],[Emisní koeficient CO2 '[kg/GJ']]]</f>
        <v>28183.130650567386</v>
      </c>
      <c r="P147" s="4">
        <f>Úsporná_opatření[[#This Row],[Potenciál úspor energie v TJ]]*Úsporná_opatření[[#This Row],[Emisní koeficient CH4 '[g/GJ']]]</f>
        <v>301.10200836126899</v>
      </c>
      <c r="Q147" s="4">
        <f>Úsporná_opatření[[#This Row],[Potenciál úspor energie v TJ]]*Úsporná_opatření[[#This Row],[Emisní koeficient N2O '[g/GJ']]]</f>
        <v>395.22655360896681</v>
      </c>
      <c r="R147" s="4">
        <f>Úsporná_opatření[[#This Row],[Potenciál úspor energie v TJ]]*Úsporná_opatření[[#This Row],[Emisní koeficient CO2 eq '[kg/GJ']]]</f>
        <v>28308.435713751889</v>
      </c>
      <c r="S147" s="7">
        <f>VLOOKUP(Úsporná_opatření[[#This Row],[Šetřený nositel energie]] &amp; "#" &amp; Úsporná_opatření[[#This Row],[Nejpodobnější sektor]],Emiskoef,2,FALSE)</f>
        <v>243.30535699975164</v>
      </c>
      <c r="T147" s="7">
        <f>VLOOKUP(Úsporná_opatření[[#This Row],[Šetřený nositel energie]] &amp; "#" &amp; Úsporná_opatření[[#This Row],[Nejpodobnější sektor]],Emiskoef,3,FALSE)</f>
        <v>2.5994178058499644</v>
      </c>
      <c r="U147" s="7">
        <f>VLOOKUP(Úsporná_opatření[[#This Row],[Šetřený nositel energie]] &amp; "#" &amp; Úsporná_opatření[[#This Row],[Nejpodobnější sektor]],Emiskoef,4,FALSE)</f>
        <v>3.4119963077868793</v>
      </c>
      <c r="V14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7" s="4">
        <f>1000*Úsporná_opatření[[#This Row],[Investice '[Kč/GJ']]]/Úsporná_opatření[[#This Row],[Emisní koeficient CO2 eq '[kg/GJ']]]</f>
        <v>25778.772909359868</v>
      </c>
      <c r="X147" s="7" t="s">
        <v>352</v>
      </c>
    </row>
    <row r="148" spans="2:24" x14ac:dyDescent="0.25">
      <c r="B148" s="3" t="s">
        <v>4</v>
      </c>
      <c r="C148" s="3" t="s">
        <v>73</v>
      </c>
      <c r="D148" s="3" t="s">
        <v>232</v>
      </c>
      <c r="E148" s="3" t="str">
        <f>CONCATENATE(Úsporná_opatření[[#This Row],[Sektor]],Úsporná_opatření[[#This Row],[Opatření]])</f>
        <v>PrůmyslVýměna osvětlení LED80 za LED110</v>
      </c>
      <c r="F148" s="4">
        <v>6300</v>
      </c>
      <c r="G148" s="11">
        <f>VLOOKUP(Úsporná_opatření[[#This Row],[Opatření podrobně]],Potenciál_opatření!$A$1:$C$191,3,0)</f>
        <v>0.66666666666666674</v>
      </c>
      <c r="H148" s="13">
        <f>Úsporná_opatření[[#This Row],[Potenciál úspor energie v TJ]]*Úsporná_opatření[[#This Row],[Investice '[Kč/GJ']]]*1000</f>
        <v>700339859.79474723</v>
      </c>
      <c r="I148" s="13">
        <f>Úsporná_opatření[[#This Row],[Podíl dotace '[%']]]*Úsporná_opatření[[#This Row],[Investice]]</f>
        <v>466893239.8631649</v>
      </c>
      <c r="J148" s="3">
        <v>15</v>
      </c>
      <c r="K148" s="12">
        <f>VLOOKUP(Úsporná_opatření[[#This Row],[Opatření podrobně]],Potenciál_opatření!$A$1:$C$191,2,0)</f>
        <v>111.16505711027733</v>
      </c>
      <c r="L148" s="3">
        <v>8</v>
      </c>
      <c r="M148" s="3" t="s">
        <v>12</v>
      </c>
      <c r="N148" s="3" t="s">
        <v>4</v>
      </c>
      <c r="O148" s="4">
        <f>Úsporná_opatření[[#This Row],[Potenciál úspor energie v TJ]]*Úsporná_opatření[[#This Row],[Emisní koeficient CO2 '[kg/GJ']]]</f>
        <v>27047.053906113804</v>
      </c>
      <c r="P148" s="4">
        <f>Úsporná_opatření[[#This Row],[Potenciál úspor energie v TJ]]*Úsporná_opatření[[#This Row],[Emisní koeficient CH4 '[g/GJ']]]</f>
        <v>288.96442884078306</v>
      </c>
      <c r="Q148" s="4">
        <f>Úsporná_opatření[[#This Row],[Potenciál úspor energie v TJ]]*Úsporná_opatření[[#This Row],[Emisní koeficient N2O '[g/GJ']]]</f>
        <v>379.29476441518381</v>
      </c>
      <c r="R148" s="4">
        <f>Úsporná_opatření[[#This Row],[Potenciál úspor energie v TJ]]*Úsporná_opatření[[#This Row],[Emisní koeficient CO2 eq '[kg/GJ']]]</f>
        <v>27167.307856630552</v>
      </c>
      <c r="S148" s="7">
        <f>VLOOKUP(Úsporná_opatření[[#This Row],[Šetřený nositel energie]] &amp; "#" &amp; Úsporná_opatření[[#This Row],[Nejpodobnější sektor]],Emiskoef,2,FALSE)</f>
        <v>243.30535699975164</v>
      </c>
      <c r="T148" s="7">
        <f>VLOOKUP(Úsporná_opatření[[#This Row],[Šetřený nositel energie]] &amp; "#" &amp; Úsporná_opatření[[#This Row],[Nejpodobnější sektor]],Emiskoef,3,FALSE)</f>
        <v>2.5994178058499644</v>
      </c>
      <c r="U148" s="7">
        <f>VLOOKUP(Úsporná_opatření[[#This Row],[Šetřený nositel energie]] &amp; "#" &amp; Úsporná_opatření[[#This Row],[Nejpodobnější sektor]],Emiskoef,4,FALSE)</f>
        <v>3.4119963077868793</v>
      </c>
      <c r="V14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8" s="4">
        <f>1000*Úsporná_opatření[[#This Row],[Investice '[Kč/GJ']]]/Úsporná_opatření[[#This Row],[Emisní koeficient CO2 eq '[kg/GJ']]]</f>
        <v>25778.772909359868</v>
      </c>
      <c r="X148" s="7" t="s">
        <v>353</v>
      </c>
    </row>
    <row r="149" spans="2:24" x14ac:dyDescent="0.25">
      <c r="B149" s="3" t="s">
        <v>6</v>
      </c>
      <c r="C149" s="3" t="s">
        <v>73</v>
      </c>
      <c r="D149" s="3" t="s">
        <v>233</v>
      </c>
      <c r="E149" s="3" t="str">
        <f>CONCATENATE(Úsporná_opatření[[#This Row],[Sektor]],Úsporná_opatření[[#This Row],[Opatření]])</f>
        <v>SlužbyVýměna osvětlení LED80 za LED110</v>
      </c>
      <c r="F149" s="4">
        <v>6300</v>
      </c>
      <c r="G149" s="11">
        <f>VLOOKUP(Úsporná_opatření[[#This Row],[Opatření podrobně]],Potenciál_opatření!$A$1:$C$191,3,0)</f>
        <v>0.2857142857142857</v>
      </c>
      <c r="H149" s="13">
        <f>Úsporná_opatření[[#This Row],[Potenciál úspor energie v TJ]]*Úsporná_opatření[[#This Row],[Investice '[Kč/GJ']]]*1000</f>
        <v>9416249126.4539204</v>
      </c>
      <c r="I149" s="13">
        <f>Úsporná_opatření[[#This Row],[Podíl dotace '[%']]]*Úsporná_opatření[[#This Row],[Investice]]</f>
        <v>2690356893.2725487</v>
      </c>
      <c r="J149" s="3">
        <v>7</v>
      </c>
      <c r="K149" s="12">
        <f>VLOOKUP(Úsporná_opatření[[#This Row],[Opatření podrobně]],Potenciál_opatření!$A$1:$C$191,2,0)</f>
        <v>1494.6427184847494</v>
      </c>
      <c r="L149" s="3">
        <v>8</v>
      </c>
      <c r="M149" s="3" t="s">
        <v>12</v>
      </c>
      <c r="N149" s="3" t="s">
        <v>6</v>
      </c>
      <c r="O149" s="4">
        <f>Úsporná_opatření[[#This Row],[Potenciál úspor energie v TJ]]*Úsporná_opatření[[#This Row],[Emisní koeficient CO2 '[kg/GJ']]]</f>
        <v>363654.5802080112</v>
      </c>
      <c r="P149" s="4">
        <f>Úsporná_opatření[[#This Row],[Potenciál úspor energie v TJ]]*Úsporná_opatření[[#This Row],[Emisní koeficient CH4 '[g/GJ']]]</f>
        <v>3885.2008958132533</v>
      </c>
      <c r="Q149" s="4">
        <f>Úsporná_opatření[[#This Row],[Potenciál úspor energie v TJ]]*Úsporná_opatření[[#This Row],[Emisní koeficient N2O '[g/GJ']]]</f>
        <v>5099.715436930509</v>
      </c>
      <c r="R149" s="4">
        <f>Úsporná_opatření[[#This Row],[Potenciál úspor energie v TJ]]*Úsporná_opatření[[#This Row],[Emisní koeficient CO2 eq '[kg/GJ']]]</f>
        <v>365271.42543061188</v>
      </c>
      <c r="S149" s="7">
        <f>VLOOKUP(Úsporná_opatření[[#This Row],[Šetřený nositel energie]] &amp; "#" &amp; Úsporná_opatření[[#This Row],[Nejpodobnější sektor]],Emiskoef,2,FALSE)</f>
        <v>243.30535699975164</v>
      </c>
      <c r="T149" s="7">
        <f>VLOOKUP(Úsporná_opatření[[#This Row],[Šetřený nositel energie]] &amp; "#" &amp; Úsporná_opatření[[#This Row],[Nejpodobnější sektor]],Emiskoef,3,FALSE)</f>
        <v>2.5994178058499644</v>
      </c>
      <c r="U149" s="7">
        <f>VLOOKUP(Úsporná_opatření[[#This Row],[Šetřený nositel energie]] &amp; "#" &amp; Úsporná_opatření[[#This Row],[Nejpodobnější sektor]],Emiskoef,4,FALSE)</f>
        <v>3.4119963077868793</v>
      </c>
      <c r="V14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9" s="4">
        <f>1000*Úsporná_opatření[[#This Row],[Investice '[Kč/GJ']]]/Úsporná_opatření[[#This Row],[Emisní koeficient CO2 eq '[kg/GJ']]]</f>
        <v>25778.772909359868</v>
      </c>
      <c r="X149" s="7" t="s">
        <v>352</v>
      </c>
    </row>
    <row r="150" spans="2:24" x14ac:dyDescent="0.25">
      <c r="B150" s="3" t="s">
        <v>311</v>
      </c>
      <c r="C150" s="3" t="s">
        <v>73</v>
      </c>
      <c r="D150" s="3" t="s">
        <v>234</v>
      </c>
      <c r="E150" s="3" t="str">
        <f>CONCATENATE(Úsporná_opatření[[#This Row],[Sektor]],Úsporná_opatření[[#This Row],[Opatření]])</f>
        <v>veřejná správaVýměna osvětlení LED80 za LED110</v>
      </c>
      <c r="F150" s="4">
        <v>6300</v>
      </c>
      <c r="G150" s="11">
        <f>VLOOKUP(Úsporná_opatření[[#This Row],[Opatření podrobně]],Potenciál_opatření!$A$1:$C$191,3,0)</f>
        <v>0</v>
      </c>
      <c r="H150" s="13">
        <f>Úsporná_opatření[[#This Row],[Potenciál úspor energie v TJ]]*Úsporná_opatření[[#This Row],[Investice '[Kč/GJ']]]*1000</f>
        <v>7437606478.4394407</v>
      </c>
      <c r="I150" s="13">
        <f>Úsporná_opatření[[#This Row],[Podíl dotace '[%']]]*Úsporná_opatření[[#This Row],[Investice]]</f>
        <v>0</v>
      </c>
      <c r="J150" s="3">
        <v>7</v>
      </c>
      <c r="K150" s="12">
        <f>VLOOKUP(Úsporná_opatření[[#This Row],[Opatření podrobně]],Potenciál_opatření!$A$1:$C$191,2,0)</f>
        <v>1180.5724568951493</v>
      </c>
      <c r="L150" s="3">
        <v>8</v>
      </c>
      <c r="M150" s="3" t="s">
        <v>12</v>
      </c>
      <c r="N150" s="3" t="s">
        <v>8</v>
      </c>
      <c r="O150" s="4">
        <f>Úsporná_opatření[[#This Row],[Potenciál úspor energie v TJ]]*Úsporná_opatření[[#This Row],[Emisní koeficient CO2 '[kg/GJ']]]</f>
        <v>287239.60308894824</v>
      </c>
      <c r="P150" s="4">
        <f>Úsporná_opatření[[#This Row],[Potenciál úspor energie v TJ]]*Úsporná_opatření[[#This Row],[Emisní koeficient CH4 '[g/GJ']]]</f>
        <v>3068.8010655492908</v>
      </c>
      <c r="Q150" s="4">
        <f>Úsporná_opatření[[#This Row],[Potenciál úspor energie v TJ]]*Úsporná_opatření[[#This Row],[Emisní koeficient N2O '[g/GJ']]]</f>
        <v>4028.1088640011344</v>
      </c>
      <c r="R150" s="4">
        <f>Úsporná_opatření[[#This Row],[Potenciál úspor energie v TJ]]*Úsporná_opatření[[#This Row],[Emisní koeficient CO2 eq '[kg/GJ']]]</f>
        <v>288516.69955705927</v>
      </c>
      <c r="S150" s="7">
        <f>VLOOKUP(Úsporná_opatření[[#This Row],[Šetřený nositel energie]] &amp; "#" &amp; Úsporná_opatření[[#This Row],[Nejpodobnější sektor]],Emiskoef,2,FALSE)</f>
        <v>243.30535699975164</v>
      </c>
      <c r="T150" s="7">
        <f>VLOOKUP(Úsporná_opatření[[#This Row],[Šetřený nositel energie]] &amp; "#" &amp; Úsporná_opatření[[#This Row],[Nejpodobnější sektor]],Emiskoef,3,FALSE)</f>
        <v>2.5994178058499644</v>
      </c>
      <c r="U150" s="7">
        <f>VLOOKUP(Úsporná_opatření[[#This Row],[Šetřený nositel energie]] &amp; "#" &amp; Úsporná_opatření[[#This Row],[Nejpodobnější sektor]],Emiskoef,4,FALSE)</f>
        <v>3.4119963077868793</v>
      </c>
      <c r="V15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0" s="4">
        <f>1000*Úsporná_opatření[[#This Row],[Investice '[Kč/GJ']]]/Úsporná_opatření[[#This Row],[Emisní koeficient CO2 eq '[kg/GJ']]]</f>
        <v>25778.772909359868</v>
      </c>
      <c r="X150" s="7" t="s">
        <v>352</v>
      </c>
    </row>
    <row r="151" spans="2:24" x14ac:dyDescent="0.25">
      <c r="B151" s="3" t="s">
        <v>19</v>
      </c>
      <c r="C151" s="3" t="s">
        <v>73</v>
      </c>
      <c r="D151" s="3" t="s">
        <v>235</v>
      </c>
      <c r="E151" s="3" t="str">
        <f>CONCATENATE(Úsporná_opatření[[#This Row],[Sektor]],Úsporná_opatření[[#This Row],[Opatření]])</f>
        <v>DopravaVýměna osvětlení LED80 za LED110</v>
      </c>
      <c r="F151" s="4">
        <v>6300</v>
      </c>
      <c r="G151" s="11">
        <f>VLOOKUP(Úsporná_opatření[[#This Row],[Opatření podrobně]],Potenciál_opatření!$A$1:$C$191,3,0)</f>
        <v>0.2857142857142857</v>
      </c>
      <c r="H151" s="13">
        <f>Úsporná_opatření[[#This Row],[Potenciál úspor energie v TJ]]*Úsporná_opatření[[#This Row],[Investice '[Kč/GJ']]]*1000</f>
        <v>303872970.80344623</v>
      </c>
      <c r="I151" s="13">
        <f>Úsporná_opatření[[#This Row],[Podíl dotace '[%']]]*Úsporná_opatření[[#This Row],[Investice]]</f>
        <v>86820848.800984636</v>
      </c>
      <c r="J151" s="3">
        <v>7</v>
      </c>
      <c r="K151" s="12">
        <f>VLOOKUP(Úsporná_opatření[[#This Row],[Opatření podrobně]],Potenciál_opatření!$A$1:$C$191,2,0)</f>
        <v>48.233804889435909</v>
      </c>
      <c r="L151" s="3">
        <v>8</v>
      </c>
      <c r="M151" s="3" t="s">
        <v>12</v>
      </c>
      <c r="N151" s="3" t="s">
        <v>283</v>
      </c>
      <c r="O151" s="4">
        <f>Úsporná_opatření[[#This Row],[Potenciál úspor energie v TJ]]*Úsporná_opatření[[#This Row],[Emisní koeficient CO2 '[kg/GJ']]]</f>
        <v>11735.54311808057</v>
      </c>
      <c r="P151" s="4">
        <f>Úsporná_opatření[[#This Row],[Potenciál úspor energie v TJ]]*Úsporná_opatření[[#This Row],[Emisní koeficient CH4 '[g/GJ']]]</f>
        <v>125.37981127349278</v>
      </c>
      <c r="Q151" s="4">
        <f>Úsporná_opatření[[#This Row],[Potenciál úspor energie v TJ]]*Úsporná_opatření[[#This Row],[Emisní koeficient N2O '[g/GJ']]]</f>
        <v>164.57356419326806</v>
      </c>
      <c r="R151" s="4">
        <f>Úsporná_opatření[[#This Row],[Potenciál úspor energie v TJ]]*Úsporná_opatření[[#This Row],[Emisní koeficient CO2 eq '[kg/GJ']]]</f>
        <v>11787.720535492002</v>
      </c>
      <c r="S151" s="7">
        <f>VLOOKUP(Úsporná_opatření[[#This Row],[Šetřený nositel energie]] &amp; "#" &amp; Úsporná_opatření[[#This Row],[Nejpodobnější sektor]],Emiskoef,2,FALSE)</f>
        <v>243.30535699975164</v>
      </c>
      <c r="T151" s="7">
        <f>VLOOKUP(Úsporná_opatření[[#This Row],[Šetřený nositel energie]] &amp; "#" &amp; Úsporná_opatření[[#This Row],[Nejpodobnější sektor]],Emiskoef,3,FALSE)</f>
        <v>2.5994178058499644</v>
      </c>
      <c r="U151" s="7">
        <f>VLOOKUP(Úsporná_opatření[[#This Row],[Šetřený nositel energie]] &amp; "#" &amp; Úsporná_opatření[[#This Row],[Nejpodobnější sektor]],Emiskoef,4,FALSE)</f>
        <v>3.4119963077868793</v>
      </c>
      <c r="V15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1" s="4">
        <f>1000*Úsporná_opatření[[#This Row],[Investice '[Kč/GJ']]]/Úsporná_opatření[[#This Row],[Emisní koeficient CO2 eq '[kg/GJ']]]</f>
        <v>25778.772909359868</v>
      </c>
      <c r="X151" s="7" t="s">
        <v>352</v>
      </c>
    </row>
    <row r="152" spans="2:24" x14ac:dyDescent="0.25">
      <c r="B152" s="3" t="s">
        <v>7</v>
      </c>
      <c r="C152" s="3" t="s">
        <v>73</v>
      </c>
      <c r="D152" s="3" t="s">
        <v>252</v>
      </c>
      <c r="E152" s="3" t="str">
        <f>CONCATENATE(Úsporná_opatření[[#This Row],[Sektor]],Úsporná_opatření[[#This Row],[Opatření]])</f>
        <v>DomácnostiVýměna osvětlení LED80 za LED110</v>
      </c>
      <c r="F152" s="4">
        <v>7700</v>
      </c>
      <c r="G152" s="11">
        <f>VLOOKUP(Úsporná_opatření[[#This Row],[Opatření podrobně]],Potenciál_opatření!$A$1:$C$191,3,0)</f>
        <v>0</v>
      </c>
      <c r="H152" s="13">
        <f>Úsporná_opatření[[#This Row],[Potenciál úspor energie v TJ]]*Úsporná_opatření[[#This Row],[Investice '[Kč/GJ']]]*1000</f>
        <v>13277576668.917107</v>
      </c>
      <c r="I152" s="13">
        <f>Úsporná_opatření[[#This Row],[Podíl dotace '[%']]]*Úsporná_opatření[[#This Row],[Investice]]</f>
        <v>0</v>
      </c>
      <c r="J152" s="3">
        <v>7</v>
      </c>
      <c r="K152" s="12">
        <f>VLOOKUP(Úsporná_opatření[[#This Row],[Opatření podrobně]],Potenciál_opatření!$A$1:$C$191,2,0)</f>
        <v>1724.3606063528709</v>
      </c>
      <c r="L152" s="3">
        <v>8</v>
      </c>
      <c r="M152" s="3" t="s">
        <v>12</v>
      </c>
      <c r="N152" s="3" t="s">
        <v>7</v>
      </c>
      <c r="O152" s="4">
        <f>Úsporná_opatření[[#This Row],[Potenciál úspor energie v TJ]]*Úsporná_opatření[[#This Row],[Emisní koeficient CO2 '[kg/GJ']]]</f>
        <v>419546.17292499344</v>
      </c>
      <c r="P152" s="4">
        <f>Úsporná_opatření[[#This Row],[Potenciál úspor energie v TJ]]*Úsporná_opatření[[#This Row],[Emisní koeficient CH4 '[g/GJ']]]</f>
        <v>4482.3336638598939</v>
      </c>
      <c r="Q152" s="4">
        <f>Úsporná_opatření[[#This Row],[Potenciál úspor energie v TJ]]*Úsporná_opatření[[#This Row],[Emisní koeficient N2O '[g/GJ']]]</f>
        <v>5883.5120221691404</v>
      </c>
      <c r="R152" s="4">
        <f>Úsporná_opatření[[#This Row],[Potenciál úspor energie v TJ]]*Úsporná_opatření[[#This Row],[Emisní koeficient CO2 eq '[kg/GJ']]]</f>
        <v>421411.51784919639</v>
      </c>
      <c r="S152" s="7">
        <f>VLOOKUP(Úsporná_opatření[[#This Row],[Šetřený nositel energie]] &amp; "#" &amp; Úsporná_opatření[[#This Row],[Nejpodobnější sektor]],Emiskoef,2,FALSE)</f>
        <v>243.30535699975164</v>
      </c>
      <c r="T152" s="7">
        <f>VLOOKUP(Úsporná_opatření[[#This Row],[Šetřený nositel energie]] &amp; "#" &amp; Úsporná_opatření[[#This Row],[Nejpodobnější sektor]],Emiskoef,3,FALSE)</f>
        <v>2.5994178058499644</v>
      </c>
      <c r="U152" s="7">
        <f>VLOOKUP(Úsporná_opatření[[#This Row],[Šetřený nositel energie]] &amp; "#" &amp; Úsporná_opatření[[#This Row],[Nejpodobnější sektor]],Emiskoef,4,FALSE)</f>
        <v>3.4119963077868793</v>
      </c>
      <c r="V15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2" s="4">
        <f>1000*Úsporná_opatření[[#This Row],[Investice '[Kč/GJ']]]/Úsporná_opatření[[#This Row],[Emisní koeficient CO2 eq '[kg/GJ']]]</f>
        <v>31507.389111439839</v>
      </c>
      <c r="X152" s="7" t="s">
        <v>352</v>
      </c>
    </row>
    <row r="153" spans="2:24" x14ac:dyDescent="0.25">
      <c r="B153" s="3" t="s">
        <v>42</v>
      </c>
      <c r="C153" s="3" t="s">
        <v>73</v>
      </c>
      <c r="D153" s="3" t="s">
        <v>255</v>
      </c>
      <c r="E153" s="3" t="str">
        <f>CONCATENATE(Úsporná_opatření[[#This Row],[Sektor]],Úsporná_opatření[[#This Row],[Opatření]])</f>
        <v>ZemědělstvíVýměna osvětlení LED80 za LED110</v>
      </c>
      <c r="F153" s="4">
        <v>8400</v>
      </c>
      <c r="G153" s="11">
        <f>VLOOKUP(Úsporná_opatření[[#This Row],[Opatření podrobně]],Potenciál_opatření!$A$1:$C$191,3,0)</f>
        <v>0.66666666666666674</v>
      </c>
      <c r="H153" s="13">
        <f>Úsporná_opatření[[#This Row],[Potenciál úspor energie v TJ]]*Úsporná_opatření[[#This Row],[Investice '[Kč/GJ']]]*1000</f>
        <v>259469061.57654142</v>
      </c>
      <c r="I153" s="13">
        <f>Úsporná_opatření[[#This Row],[Podíl dotace '[%']]]*Úsporná_opatření[[#This Row],[Investice]]</f>
        <v>172979374.38436097</v>
      </c>
      <c r="J153" s="3">
        <v>15</v>
      </c>
      <c r="K153" s="12">
        <f>VLOOKUP(Úsporná_opatření[[#This Row],[Opatření podrobně]],Potenciál_opatření!$A$1:$C$191,2,0)</f>
        <v>30.889173997207312</v>
      </c>
      <c r="L153" s="3">
        <v>8</v>
      </c>
      <c r="M153" s="3" t="s">
        <v>12</v>
      </c>
      <c r="N153" s="3" t="s">
        <v>4</v>
      </c>
      <c r="O153" s="4">
        <f>Úsporná_opatření[[#This Row],[Potenciál úspor energie v TJ]]*Úsporná_opatření[[#This Row],[Emisní koeficient CO2 '[kg/GJ']]]</f>
        <v>7515.50150681797</v>
      </c>
      <c r="P153" s="4">
        <f>Úsporná_opatření[[#This Row],[Potenciál úspor energie v TJ]]*Úsporná_opatření[[#This Row],[Emisní koeficient CH4 '[g/GJ']]]</f>
        <v>80.29386889633841</v>
      </c>
      <c r="Q153" s="4">
        <f>Úsporná_opatření[[#This Row],[Potenciál úspor energie v TJ]]*Úsporná_opatření[[#This Row],[Emisní koeficient N2O '[g/GJ']]]</f>
        <v>105.39374762905783</v>
      </c>
      <c r="R153" s="4">
        <f>Úsporná_opatření[[#This Row],[Potenciál úspor energie v TJ]]*Úsporná_opatření[[#This Row],[Emisní koeficient CO2 eq '[kg/GJ']]]</f>
        <v>7548.9161903338381</v>
      </c>
      <c r="S153" s="7">
        <f>VLOOKUP(Úsporná_opatření[[#This Row],[Šetřený nositel energie]] &amp; "#" &amp; Úsporná_opatření[[#This Row],[Nejpodobnější sektor]],Emiskoef,2,FALSE)</f>
        <v>243.30535699975164</v>
      </c>
      <c r="T153" s="7">
        <f>VLOOKUP(Úsporná_opatření[[#This Row],[Šetřený nositel energie]] &amp; "#" &amp; Úsporná_opatření[[#This Row],[Nejpodobnější sektor]],Emiskoef,3,FALSE)</f>
        <v>2.5994178058499644</v>
      </c>
      <c r="U153" s="7">
        <f>VLOOKUP(Úsporná_opatření[[#This Row],[Šetřený nositel energie]] &amp; "#" &amp; Úsporná_opatření[[#This Row],[Nejpodobnější sektor]],Emiskoef,4,FALSE)</f>
        <v>3.4119963077868793</v>
      </c>
      <c r="V15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3" s="4">
        <f>1000*Úsporná_opatření[[#This Row],[Investice '[Kč/GJ']]]/Úsporná_opatření[[#This Row],[Emisní koeficient CO2 eq '[kg/GJ']]]</f>
        <v>34371.697212479827</v>
      </c>
      <c r="X153" s="7" t="s">
        <v>353</v>
      </c>
    </row>
    <row r="154" spans="2:24" x14ac:dyDescent="0.25">
      <c r="B154" s="3" t="s">
        <v>6</v>
      </c>
      <c r="C154" s="3" t="s">
        <v>73</v>
      </c>
      <c r="D154" s="3" t="s">
        <v>256</v>
      </c>
      <c r="E154" s="3" t="str">
        <f>CONCATENATE(Úsporná_opatření[[#This Row],[Sektor]],Úsporná_opatření[[#This Row],[Opatření]])</f>
        <v>SlužbyVýměna osvětlení LED80 za LED110</v>
      </c>
      <c r="F154" s="4">
        <v>8400</v>
      </c>
      <c r="G154" s="11">
        <f>VLOOKUP(Úsporná_opatření[[#This Row],[Opatření podrobně]],Potenciál_opatření!$A$1:$C$191,3,0)</f>
        <v>0.66666666666666674</v>
      </c>
      <c r="H154" s="13">
        <f>Úsporná_opatření[[#This Row],[Potenciál úspor energie v TJ]]*Úsporná_opatření[[#This Row],[Investice '[Kč/GJ']]]*1000</f>
        <v>3347999689.4058385</v>
      </c>
      <c r="I154" s="13">
        <f>Úsporná_opatření[[#This Row],[Podíl dotace '[%']]]*Úsporná_opatření[[#This Row],[Investice]]</f>
        <v>2231999792.9372258</v>
      </c>
      <c r="J154" s="3">
        <v>15</v>
      </c>
      <c r="K154" s="12">
        <f>VLOOKUP(Úsporná_opatření[[#This Row],[Opatření podrobně]],Potenciál_opatření!$A$1:$C$191,2,0)</f>
        <v>398.57139159593316</v>
      </c>
      <c r="L154" s="3">
        <v>8</v>
      </c>
      <c r="M154" s="3" t="s">
        <v>12</v>
      </c>
      <c r="N154" s="3" t="s">
        <v>6</v>
      </c>
      <c r="O154" s="4">
        <f>Úsporná_opatření[[#This Row],[Potenciál úspor energie v TJ]]*Úsporná_opatření[[#This Row],[Emisní koeficient CO2 '[kg/GJ']]]</f>
        <v>96974.554722136323</v>
      </c>
      <c r="P154" s="4">
        <f>Úsporná_opatření[[#This Row],[Potenciál úspor energie v TJ]]*Úsporná_opatření[[#This Row],[Emisní koeficient CH4 '[g/GJ']]]</f>
        <v>1036.0535722168675</v>
      </c>
      <c r="Q154" s="4">
        <f>Úsporná_opatření[[#This Row],[Potenciál úspor energie v TJ]]*Úsporná_opatření[[#This Row],[Emisní koeficient N2O '[g/GJ']]]</f>
        <v>1359.9241165148023</v>
      </c>
      <c r="R154" s="4">
        <f>Úsporná_opatření[[#This Row],[Potenciál úspor energie v TJ]]*Úsporná_opatření[[#This Row],[Emisní koeficient CO2 eq '[kg/GJ']]]</f>
        <v>97405.713448163166</v>
      </c>
      <c r="S154" s="7">
        <f>VLOOKUP(Úsporná_opatření[[#This Row],[Šetřený nositel energie]] &amp; "#" &amp; Úsporná_opatření[[#This Row],[Nejpodobnější sektor]],Emiskoef,2,FALSE)</f>
        <v>243.30535699975164</v>
      </c>
      <c r="T154" s="7">
        <f>VLOOKUP(Úsporná_opatření[[#This Row],[Šetřený nositel energie]] &amp; "#" &amp; Úsporná_opatření[[#This Row],[Nejpodobnější sektor]],Emiskoef,3,FALSE)</f>
        <v>2.5994178058499644</v>
      </c>
      <c r="U154" s="7">
        <f>VLOOKUP(Úsporná_opatření[[#This Row],[Šetřený nositel energie]] &amp; "#" &amp; Úsporná_opatření[[#This Row],[Nejpodobnější sektor]],Emiskoef,4,FALSE)</f>
        <v>3.4119963077868793</v>
      </c>
      <c r="V15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4" s="4">
        <f>1000*Úsporná_opatření[[#This Row],[Investice '[Kč/GJ']]]/Úsporná_opatření[[#This Row],[Emisní koeficient CO2 eq '[kg/GJ']]]</f>
        <v>34371.697212479827</v>
      </c>
      <c r="X154" s="7" t="s">
        <v>353</v>
      </c>
    </row>
    <row r="155" spans="2:24" x14ac:dyDescent="0.25">
      <c r="B155" s="3" t="s">
        <v>311</v>
      </c>
      <c r="C155" s="3" t="s">
        <v>73</v>
      </c>
      <c r="D155" s="3" t="s">
        <v>257</v>
      </c>
      <c r="E155" s="3" t="str">
        <f>CONCATENATE(Úsporná_opatření[[#This Row],[Sektor]],Úsporná_opatření[[#This Row],[Opatření]])</f>
        <v>veřejná správaVýměna osvětlení LED80 za LED110</v>
      </c>
      <c r="F155" s="4">
        <v>8400</v>
      </c>
      <c r="G155" s="11">
        <f>VLOOKUP(Úsporná_opatření[[#This Row],[Opatření podrobně]],Potenciál_opatření!$A$1:$C$191,3,0)</f>
        <v>0.19999999999999996</v>
      </c>
      <c r="H155" s="13">
        <f>Úsporná_opatření[[#This Row],[Potenciál úspor energie v TJ]]*Úsporná_opatření[[#This Row],[Investice '[Kč/GJ']]]*1000</f>
        <v>2644482303.4451346</v>
      </c>
      <c r="I155" s="13">
        <f>Úsporná_opatření[[#This Row],[Podíl dotace '[%']]]*Úsporná_opatření[[#This Row],[Investice]]</f>
        <v>528896460.68902683</v>
      </c>
      <c r="J155" s="3">
        <v>15</v>
      </c>
      <c r="K155" s="12">
        <f>VLOOKUP(Úsporná_opatření[[#This Row],[Opatření podrobně]],Potenciál_opatření!$A$1:$C$191,2,0)</f>
        <v>314.81932183870651</v>
      </c>
      <c r="L155" s="3">
        <v>8</v>
      </c>
      <c r="M155" s="3" t="s">
        <v>12</v>
      </c>
      <c r="N155" s="3" t="s">
        <v>8</v>
      </c>
      <c r="O155" s="4">
        <f>Úsporná_opatření[[#This Row],[Potenciál úspor energie v TJ]]*Úsporná_opatření[[#This Row],[Emisní koeficient CO2 '[kg/GJ']]]</f>
        <v>76597.227490386198</v>
      </c>
      <c r="P155" s="4">
        <f>Úsporná_opatření[[#This Row],[Potenciál úspor energie v TJ]]*Úsporná_opatření[[#This Row],[Emisní koeficient CH4 '[g/GJ']]]</f>
        <v>818.3469508131443</v>
      </c>
      <c r="Q155" s="4">
        <f>Úsporná_opatření[[#This Row],[Potenciál úspor energie v TJ]]*Úsporná_opatření[[#This Row],[Emisní koeficient N2O '[g/GJ']]]</f>
        <v>1074.1623637336359</v>
      </c>
      <c r="R155" s="4">
        <f>Úsporná_opatření[[#This Row],[Potenciál úspor energie v TJ]]*Úsporná_opatření[[#This Row],[Emisní koeficient CO2 eq '[kg/GJ']]]</f>
        <v>76937.786548549149</v>
      </c>
      <c r="S155" s="7">
        <f>VLOOKUP(Úsporná_opatření[[#This Row],[Šetřený nositel energie]] &amp; "#" &amp; Úsporná_opatření[[#This Row],[Nejpodobnější sektor]],Emiskoef,2,FALSE)</f>
        <v>243.30535699975164</v>
      </c>
      <c r="T155" s="7">
        <f>VLOOKUP(Úsporná_opatření[[#This Row],[Šetřený nositel energie]] &amp; "#" &amp; Úsporná_opatření[[#This Row],[Nejpodobnější sektor]],Emiskoef,3,FALSE)</f>
        <v>2.5994178058499644</v>
      </c>
      <c r="U155" s="7">
        <f>VLOOKUP(Úsporná_opatření[[#This Row],[Šetřený nositel energie]] &amp; "#" &amp; Úsporná_opatření[[#This Row],[Nejpodobnější sektor]],Emiskoef,4,FALSE)</f>
        <v>3.4119963077868793</v>
      </c>
      <c r="V15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5" s="4">
        <f>1000*Úsporná_opatření[[#This Row],[Investice '[Kč/GJ']]]/Úsporná_opatření[[#This Row],[Emisní koeficient CO2 eq '[kg/GJ']]]</f>
        <v>34371.697212479827</v>
      </c>
      <c r="X155" s="7" t="s">
        <v>353</v>
      </c>
    </row>
    <row r="156" spans="2:24" x14ac:dyDescent="0.25">
      <c r="B156" s="3" t="s">
        <v>19</v>
      </c>
      <c r="C156" s="3" t="s">
        <v>73</v>
      </c>
      <c r="D156" s="3" t="s">
        <v>258</v>
      </c>
      <c r="E156" s="3" t="str">
        <f>CONCATENATE(Úsporná_opatření[[#This Row],[Sektor]],Úsporná_opatření[[#This Row],[Opatření]])</f>
        <v>DopravaVýměna osvětlení LED80 za LED110</v>
      </c>
      <c r="F156" s="4">
        <v>8400</v>
      </c>
      <c r="G156" s="11">
        <f>VLOOKUP(Úsporná_opatření[[#This Row],[Opatření podrobně]],Potenciál_opatření!$A$1:$C$191,3,0)</f>
        <v>0.66666666666666674</v>
      </c>
      <c r="H156" s="13">
        <f>Úsporná_opatření[[#This Row],[Potenciál úspor energie v TJ]]*Úsporná_opatření[[#This Row],[Investice '[Kč/GJ']]]*1000</f>
        <v>108043722.95233642</v>
      </c>
      <c r="I156" s="13">
        <f>Úsporná_opatření[[#This Row],[Podíl dotace '[%']]]*Úsporná_opatření[[#This Row],[Investice]]</f>
        <v>72029148.634890959</v>
      </c>
      <c r="J156" s="3">
        <v>15</v>
      </c>
      <c r="K156" s="12">
        <f>VLOOKUP(Úsporná_opatření[[#This Row],[Opatření podrobně]],Potenciál_opatření!$A$1:$C$191,2,0)</f>
        <v>12.862347970516241</v>
      </c>
      <c r="L156" s="3">
        <v>8</v>
      </c>
      <c r="M156" s="3" t="s">
        <v>12</v>
      </c>
      <c r="N156" s="3" t="s">
        <v>283</v>
      </c>
      <c r="O156" s="4">
        <f>Úsporná_opatření[[#This Row],[Potenciál úspor energie v TJ]]*Úsporná_opatření[[#This Row],[Emisní koeficient CO2 '[kg/GJ']]]</f>
        <v>3129.4781648214853</v>
      </c>
      <c r="P156" s="4">
        <f>Úsporná_opatření[[#This Row],[Potenciál úspor energie v TJ]]*Úsporná_opatření[[#This Row],[Emisní koeficient CH4 '[g/GJ']]]</f>
        <v>33.434616339598072</v>
      </c>
      <c r="Q156" s="4">
        <f>Úsporná_opatření[[#This Row],[Potenciál úspor energie v TJ]]*Úsporná_opatření[[#This Row],[Emisní koeficient N2O '[g/GJ']]]</f>
        <v>43.886283784871473</v>
      </c>
      <c r="R156" s="4">
        <f>Úsporná_opatření[[#This Row],[Potenciál úspor energie v TJ]]*Úsporná_opatření[[#This Row],[Emisní koeficient CO2 eq '[kg/GJ']]]</f>
        <v>3143.3921427978667</v>
      </c>
      <c r="S156" s="7">
        <f>VLOOKUP(Úsporná_opatření[[#This Row],[Šetřený nositel energie]] &amp; "#" &amp; Úsporná_opatření[[#This Row],[Nejpodobnější sektor]],Emiskoef,2,FALSE)</f>
        <v>243.30535699975164</v>
      </c>
      <c r="T156" s="7">
        <f>VLOOKUP(Úsporná_opatření[[#This Row],[Šetřený nositel energie]] &amp; "#" &amp; Úsporná_opatření[[#This Row],[Nejpodobnější sektor]],Emiskoef,3,FALSE)</f>
        <v>2.5994178058499644</v>
      </c>
      <c r="U156" s="7">
        <f>VLOOKUP(Úsporná_opatření[[#This Row],[Šetřený nositel energie]] &amp; "#" &amp; Úsporná_opatření[[#This Row],[Nejpodobnější sektor]],Emiskoef,4,FALSE)</f>
        <v>3.4119963077868793</v>
      </c>
      <c r="V15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6" s="4">
        <f>1000*Úsporná_opatření[[#This Row],[Investice '[Kč/GJ']]]/Úsporná_opatření[[#This Row],[Emisní koeficient CO2 eq '[kg/GJ']]]</f>
        <v>34371.697212479827</v>
      </c>
      <c r="X156" s="7" t="s">
        <v>353</v>
      </c>
    </row>
    <row r="157" spans="2:24" x14ac:dyDescent="0.25">
      <c r="B157" s="3" t="s">
        <v>7</v>
      </c>
      <c r="C157" s="3" t="s">
        <v>73</v>
      </c>
      <c r="D157" s="3" t="s">
        <v>275</v>
      </c>
      <c r="E157" s="3" t="str">
        <f>CONCATENATE(Úsporná_opatření[[#This Row],[Sektor]],Úsporná_opatření[[#This Row],[Opatření]])</f>
        <v>DomácnostiVýměna osvětlení LED80 za LED110</v>
      </c>
      <c r="F157" s="4">
        <v>14000</v>
      </c>
      <c r="G157" s="11">
        <f>VLOOKUP(Úsporná_opatření[[#This Row],[Opatření podrobně]],Potenciál_opatření!$A$1:$C$191,3,0)</f>
        <v>0.19999999999999996</v>
      </c>
      <c r="H157" s="13">
        <f>Úsporná_opatření[[#This Row],[Potenciál úspor energie v TJ]]*Úsporná_opatření[[#This Row],[Investice '[Kč/GJ']]]*1000</f>
        <v>6437612930.3840513</v>
      </c>
      <c r="I157" s="13">
        <f>Úsporná_opatření[[#This Row],[Podíl dotace '[%']]]*Úsporná_opatření[[#This Row],[Investice]]</f>
        <v>1287522586.0768099</v>
      </c>
      <c r="J157" s="3">
        <v>15</v>
      </c>
      <c r="K157" s="12">
        <f>VLOOKUP(Úsporná_opatření[[#This Row],[Opatření podrobně]],Potenciál_opatření!$A$1:$C$191,2,0)</f>
        <v>459.82949502743224</v>
      </c>
      <c r="L157" s="3">
        <v>8</v>
      </c>
      <c r="M157" s="3" t="s">
        <v>12</v>
      </c>
      <c r="N157" s="3" t="s">
        <v>7</v>
      </c>
      <c r="O157" s="4">
        <f>Úsporná_opatření[[#This Row],[Potenciál úspor energie v TJ]]*Úsporná_opatření[[#This Row],[Emisní koeficient CO2 '[kg/GJ']]]</f>
        <v>111878.97944666492</v>
      </c>
      <c r="P157" s="4">
        <f>Úsporná_opatření[[#This Row],[Potenciál úspor energie v TJ]]*Úsporná_opatření[[#This Row],[Emisní koeficient CH4 '[g/GJ']]]</f>
        <v>1195.288977029305</v>
      </c>
      <c r="Q157" s="4">
        <f>Úsporná_opatření[[#This Row],[Potenciál úspor energie v TJ]]*Úsporná_opatření[[#This Row],[Emisní koeficient N2O '[g/GJ']]]</f>
        <v>1568.9365392451041</v>
      </c>
      <c r="R157" s="4">
        <f>Úsporná_opatření[[#This Row],[Potenciál úspor energie v TJ]]*Úsporná_opatření[[#This Row],[Emisní koeficient CO2 eq '[kg/GJ']]]</f>
        <v>112376.4047597857</v>
      </c>
      <c r="S157" s="7">
        <f>VLOOKUP(Úsporná_opatření[[#This Row],[Šetřený nositel energie]] &amp; "#" &amp; Úsporná_opatření[[#This Row],[Nejpodobnější sektor]],Emiskoef,2,FALSE)</f>
        <v>243.30535699975164</v>
      </c>
      <c r="T157" s="7">
        <f>VLOOKUP(Úsporná_opatření[[#This Row],[Šetřený nositel energie]] &amp; "#" &amp; Úsporná_opatření[[#This Row],[Nejpodobnější sektor]],Emiskoef,3,FALSE)</f>
        <v>2.5994178058499644</v>
      </c>
      <c r="U157" s="7">
        <f>VLOOKUP(Úsporná_opatření[[#This Row],[Šetřený nositel energie]] &amp; "#" &amp; Úsporná_opatření[[#This Row],[Nejpodobnější sektor]],Emiskoef,4,FALSE)</f>
        <v>3.4119963077868793</v>
      </c>
      <c r="V15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7" s="4">
        <f>1000*Úsporná_opatření[[#This Row],[Investice '[Kč/GJ']]]/Úsporná_opatření[[#This Row],[Emisní koeficient CO2 eq '[kg/GJ']]]</f>
        <v>57286.162020799711</v>
      </c>
      <c r="X157" s="7" t="s">
        <v>353</v>
      </c>
    </row>
    <row r="158" spans="2:24" x14ac:dyDescent="0.25">
      <c r="B158" s="3" t="s">
        <v>4</v>
      </c>
      <c r="C158" s="3" t="s">
        <v>61</v>
      </c>
      <c r="D158" s="3" t="s">
        <v>105</v>
      </c>
      <c r="E158" s="3" t="str">
        <f>CONCATENATE(Úsporná_opatření[[#This Row],[Sektor]],Úsporná_opatření[[#This Row],[Opatření]])</f>
        <v>PrůmyslVýměna stávajícího osvětlení za LED80</v>
      </c>
      <c r="F158" s="4">
        <v>630</v>
      </c>
      <c r="G158" s="11">
        <f>VLOOKUP(Úsporná_opatření[[#This Row],[Opatření podrobně]],Potenciál_opatření!$A$1:$C$191,3,0)</f>
        <v>0</v>
      </c>
      <c r="H158" s="13">
        <f>Úsporná_opatření[[#This Row],[Potenciál úspor energie v TJ]]*Úsporná_opatření[[#This Row],[Investice '[Kč/GJ']]]*1000</f>
        <v>425553933.79051769</v>
      </c>
      <c r="I158" s="13">
        <f>Úsporná_opatření[[#This Row],[Podíl dotace '[%']]]*Úsporná_opatření[[#This Row],[Investice]]</f>
        <v>0</v>
      </c>
      <c r="J158" s="3">
        <v>0.9</v>
      </c>
      <c r="K158" s="12">
        <f>VLOOKUP(Úsporná_opatření[[#This Row],[Opatření podrobně]],Potenciál_opatření!$A$1:$C$191,2,0)</f>
        <v>675.48243458812328</v>
      </c>
      <c r="L158" s="3">
        <v>8</v>
      </c>
      <c r="M158" s="3" t="s">
        <v>12</v>
      </c>
      <c r="N158" s="3" t="s">
        <v>4</v>
      </c>
      <c r="O158" s="4">
        <f>Úsporná_opatření[[#This Row],[Potenciál úspor energie v TJ]]*Úsporná_opatření[[#This Row],[Emisní koeficient CO2 '[kg/GJ']]]</f>
        <v>164348.49489452472</v>
      </c>
      <c r="P158" s="4">
        <f>Úsporná_opatření[[#This Row],[Potenciál úspor energie v TJ]]*Úsporná_opatření[[#This Row],[Emisní koeficient CH4 '[g/GJ']]]</f>
        <v>1755.8610680072516</v>
      </c>
      <c r="Q158" s="4">
        <f>Úsporná_opatření[[#This Row],[Potenciál úspor energie v TJ]]*Úsporná_opatření[[#This Row],[Emisní koeficient N2O '[g/GJ']]]</f>
        <v>2304.743572789569</v>
      </c>
      <c r="R158" s="4">
        <f>Úsporná_opatření[[#This Row],[Potenciál úspor energie v TJ]]*Úsporná_opatření[[#This Row],[Emisní koeficient CO2 eq '[kg/GJ']]]</f>
        <v>165079.20500591621</v>
      </c>
      <c r="S158" s="7">
        <f>VLOOKUP(Úsporná_opatření[[#This Row],[Šetřený nositel energie]] &amp; "#" &amp; Úsporná_opatření[[#This Row],[Nejpodobnější sektor]],Emiskoef,2,FALSE)</f>
        <v>243.30535699975164</v>
      </c>
      <c r="T158" s="7">
        <f>VLOOKUP(Úsporná_opatření[[#This Row],[Šetřený nositel energie]] &amp; "#" &amp; Úsporná_opatření[[#This Row],[Nejpodobnější sektor]],Emiskoef,3,FALSE)</f>
        <v>2.5994178058499644</v>
      </c>
      <c r="U158" s="7">
        <f>VLOOKUP(Úsporná_opatření[[#This Row],[Šetřený nositel energie]] &amp; "#" &amp; Úsporná_opatření[[#This Row],[Nejpodobnější sektor]],Emiskoef,4,FALSE)</f>
        <v>3.4119963077868793</v>
      </c>
      <c r="V15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8" s="4">
        <f>1000*Úsporná_opatření[[#This Row],[Investice '[Kč/GJ']]]/Úsporná_opatření[[#This Row],[Emisní koeficient CO2 eq '[kg/GJ']]]</f>
        <v>2577.8772909359868</v>
      </c>
      <c r="X158" s="7" t="s">
        <v>353</v>
      </c>
    </row>
    <row r="159" spans="2:24" x14ac:dyDescent="0.25">
      <c r="B159" s="3" t="s">
        <v>42</v>
      </c>
      <c r="C159" s="3" t="s">
        <v>61</v>
      </c>
      <c r="D159" s="3" t="s">
        <v>117</v>
      </c>
      <c r="E159" s="3" t="str">
        <f>CONCATENATE(Úsporná_opatření[[#This Row],[Sektor]],Úsporná_opatření[[#This Row],[Opatření]])</f>
        <v>ZemědělstvíVýměna stávajícího osvětlení za LED80</v>
      </c>
      <c r="F159" s="4">
        <v>840</v>
      </c>
      <c r="G159" s="11">
        <f>VLOOKUP(Úsporná_opatření[[#This Row],[Opatření podrobně]],Potenciál_opatření!$A$1:$C$191,3,0)</f>
        <v>0</v>
      </c>
      <c r="H159" s="13">
        <f>Úsporná_opatření[[#This Row],[Potenciál úspor energie v TJ]]*Úsporná_opatření[[#This Row],[Investice '[Kč/GJ']]]*1000</f>
        <v>157663566.20511666</v>
      </c>
      <c r="I159" s="13">
        <f>Úsporná_opatření[[#This Row],[Podíl dotace '[%']]]*Úsporná_opatření[[#This Row],[Investice]]</f>
        <v>0</v>
      </c>
      <c r="J159" s="3">
        <v>0.9</v>
      </c>
      <c r="K159" s="12">
        <f>VLOOKUP(Úsporná_opatření[[#This Row],[Opatření podrobně]],Potenciál_opatření!$A$1:$C$191,2,0)</f>
        <v>187.69472167275794</v>
      </c>
      <c r="L159" s="3">
        <v>8</v>
      </c>
      <c r="M159" s="3" t="s">
        <v>12</v>
      </c>
      <c r="N159" s="3" t="s">
        <v>4</v>
      </c>
      <c r="O159" s="4">
        <f>Úsporná_opatření[[#This Row],[Potenciál úspor energie v TJ]]*Úsporná_opatření[[#This Row],[Emisní koeficient CO2 '[kg/GJ']]]</f>
        <v>45667.131263559393</v>
      </c>
      <c r="P159" s="4">
        <f>Úsporná_opatření[[#This Row],[Potenciál úspor energie v TJ]]*Úsporná_opatření[[#This Row],[Emisní koeficient CH4 '[g/GJ']]]</f>
        <v>487.89700158022021</v>
      </c>
      <c r="Q159" s="4">
        <f>Úsporná_opatření[[#This Row],[Potenciál úspor energie v TJ]]*Úsporná_opatření[[#This Row],[Emisní koeficient N2O '[g/GJ']]]</f>
        <v>640.41369733853605</v>
      </c>
      <c r="R159" s="4">
        <f>Úsporná_opatření[[#This Row],[Potenciál úspor energie v TJ]]*Úsporná_opatření[[#This Row],[Emisní koeficient CO2 eq '[kg/GJ']]]</f>
        <v>45870.171970405783</v>
      </c>
      <c r="S159" s="7">
        <f>VLOOKUP(Úsporná_opatření[[#This Row],[Šetřený nositel energie]] &amp; "#" &amp; Úsporná_opatření[[#This Row],[Nejpodobnější sektor]],Emiskoef,2,FALSE)</f>
        <v>243.30535699975164</v>
      </c>
      <c r="T159" s="7">
        <f>VLOOKUP(Úsporná_opatření[[#This Row],[Šetřený nositel energie]] &amp; "#" &amp; Úsporná_opatření[[#This Row],[Nejpodobnější sektor]],Emiskoef,3,FALSE)</f>
        <v>2.5994178058499644</v>
      </c>
      <c r="U159" s="7">
        <f>VLOOKUP(Úsporná_opatření[[#This Row],[Šetřený nositel energie]] &amp; "#" &amp; Úsporná_opatření[[#This Row],[Nejpodobnější sektor]],Emiskoef,4,FALSE)</f>
        <v>3.4119963077868793</v>
      </c>
      <c r="V15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9" s="4">
        <f>1000*Úsporná_opatření[[#This Row],[Investice '[Kč/GJ']]]/Úsporná_opatření[[#This Row],[Emisní koeficient CO2 eq '[kg/GJ']]]</f>
        <v>3437.1697212479826</v>
      </c>
      <c r="X159" s="7" t="s">
        <v>353</v>
      </c>
    </row>
    <row r="160" spans="2:24" x14ac:dyDescent="0.25">
      <c r="B160" s="3" t="s">
        <v>6</v>
      </c>
      <c r="C160" s="3" t="s">
        <v>61</v>
      </c>
      <c r="D160" s="3" t="s">
        <v>118</v>
      </c>
      <c r="E160" s="3" t="str">
        <f>CONCATENATE(Úsporná_opatření[[#This Row],[Sektor]],Úsporná_opatření[[#This Row],[Opatření]])</f>
        <v>SlužbyVýměna stávajícího osvětlení za LED80</v>
      </c>
      <c r="F160" s="4">
        <v>840</v>
      </c>
      <c r="G160" s="11">
        <f>VLOOKUP(Úsporná_opatření[[#This Row],[Opatření podrobně]],Potenciál_opatření!$A$1:$C$191,3,0)</f>
        <v>0</v>
      </c>
      <c r="H160" s="13">
        <f>Úsporná_opatření[[#This Row],[Potenciál úspor energie v TJ]]*Úsporná_opatření[[#This Row],[Investice '[Kč/GJ']]]*1000</f>
        <v>2034375765.1801331</v>
      </c>
      <c r="I160" s="13">
        <f>Úsporná_opatření[[#This Row],[Podíl dotace '[%']]]*Úsporná_opatření[[#This Row],[Investice]]</f>
        <v>0</v>
      </c>
      <c r="J160" s="3">
        <v>0.9</v>
      </c>
      <c r="K160" s="12">
        <f>VLOOKUP(Úsporná_opatření[[#This Row],[Opatření podrobně]],Potenciál_opatření!$A$1:$C$191,2,0)</f>
        <v>2421.8759109287298</v>
      </c>
      <c r="L160" s="3">
        <v>8</v>
      </c>
      <c r="M160" s="3" t="s">
        <v>12</v>
      </c>
      <c r="N160" s="3" t="s">
        <v>6</v>
      </c>
      <c r="O160" s="4">
        <f>Úsporná_opatření[[#This Row],[Potenciál úspor energie v TJ]]*Úsporná_opatření[[#This Row],[Emisní koeficient CO2 '[kg/GJ']]]</f>
        <v>589255.38311761327</v>
      </c>
      <c r="P160" s="4">
        <f>Úsporná_opatření[[#This Row],[Potenciál úspor energie v TJ]]*Úsporná_opatření[[#This Row],[Emisní koeficient CH4 '[g/GJ']]]</f>
        <v>6295.4673664272423</v>
      </c>
      <c r="Q160" s="4">
        <f>Úsporná_opatření[[#This Row],[Potenciál úspor energie v TJ]]*Úsporná_opatření[[#This Row],[Emisní koeficient N2O '[g/GJ']]]</f>
        <v>8263.4316660068107</v>
      </c>
      <c r="R160" s="4">
        <f>Úsporná_opatření[[#This Row],[Potenciál úspor energie v TJ]]*Úsporná_opatření[[#This Row],[Emisní koeficient CO2 eq '[kg/GJ']]]</f>
        <v>591875.27243824408</v>
      </c>
      <c r="S160" s="7">
        <f>VLOOKUP(Úsporná_opatření[[#This Row],[Šetřený nositel energie]] &amp; "#" &amp; Úsporná_opatření[[#This Row],[Nejpodobnější sektor]],Emiskoef,2,FALSE)</f>
        <v>243.30535699975164</v>
      </c>
      <c r="T160" s="7">
        <f>VLOOKUP(Úsporná_opatření[[#This Row],[Šetřený nositel energie]] &amp; "#" &amp; Úsporná_opatření[[#This Row],[Nejpodobnější sektor]],Emiskoef,3,FALSE)</f>
        <v>2.5994178058499644</v>
      </c>
      <c r="U160" s="7">
        <f>VLOOKUP(Úsporná_opatření[[#This Row],[Šetřený nositel energie]] &amp; "#" &amp; Úsporná_opatření[[#This Row],[Nejpodobnější sektor]],Emiskoef,4,FALSE)</f>
        <v>3.4119963077868793</v>
      </c>
      <c r="V16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0" s="4">
        <f>1000*Úsporná_opatření[[#This Row],[Investice '[Kč/GJ']]]/Úsporná_opatření[[#This Row],[Emisní koeficient CO2 eq '[kg/GJ']]]</f>
        <v>3437.1697212479826</v>
      </c>
      <c r="X160" s="7" t="s">
        <v>353</v>
      </c>
    </row>
    <row r="161" spans="2:24" x14ac:dyDescent="0.25">
      <c r="B161" s="3" t="s">
        <v>311</v>
      </c>
      <c r="C161" s="3" t="s">
        <v>61</v>
      </c>
      <c r="D161" s="3" t="s">
        <v>119</v>
      </c>
      <c r="E161" s="3" t="str">
        <f>CONCATENATE(Úsporná_opatření[[#This Row],[Sektor]],Úsporná_opatření[[#This Row],[Opatření]])</f>
        <v>veřejná správaVýměna stávajícího osvětlení za LED80</v>
      </c>
      <c r="F161" s="4">
        <v>840</v>
      </c>
      <c r="G161" s="11">
        <f>VLOOKUP(Úsporná_opatření[[#This Row],[Opatření podrobně]],Potenciál_opatření!$A$1:$C$191,3,0)</f>
        <v>0</v>
      </c>
      <c r="H161" s="13">
        <f>Úsporná_opatření[[#This Row],[Potenciál úspor energie v TJ]]*Úsporná_opatření[[#This Row],[Investice '[Kč/GJ']]]*1000</f>
        <v>1606891042.0153799</v>
      </c>
      <c r="I161" s="13">
        <f>Úsporná_opatření[[#This Row],[Podíl dotace '[%']]]*Úsporná_opatření[[#This Row],[Investice]]</f>
        <v>0</v>
      </c>
      <c r="J161" s="3">
        <v>0.9</v>
      </c>
      <c r="K161" s="12">
        <f>VLOOKUP(Úsporná_opatření[[#This Row],[Opatření podrobně]],Potenciál_opatření!$A$1:$C$191,2,0)</f>
        <v>1912.9655262087858</v>
      </c>
      <c r="L161" s="3">
        <v>8</v>
      </c>
      <c r="M161" s="3" t="s">
        <v>12</v>
      </c>
      <c r="N161" s="3" t="s">
        <v>8</v>
      </c>
      <c r="O161" s="4">
        <f>Úsporná_opatření[[#This Row],[Potenciál úspor energie v TJ]]*Úsporná_opatření[[#This Row],[Emisní koeficient CO2 '[kg/GJ']]]</f>
        <v>465434.7602824464</v>
      </c>
      <c r="P161" s="4">
        <f>Úsporná_opatření[[#This Row],[Potenciál úspor energie v TJ]]*Úsporná_opatření[[#This Row],[Emisní koeficient CH4 '[g/GJ']]]</f>
        <v>4972.5966508042648</v>
      </c>
      <c r="Q161" s="4">
        <f>Úsporná_opatření[[#This Row],[Potenciál úspor energie v TJ]]*Úsporná_opatření[[#This Row],[Emisní koeficient N2O '[g/GJ']]]</f>
        <v>6527.0313123479618</v>
      </c>
      <c r="R161" s="4">
        <f>Úsporná_opatření[[#This Row],[Potenciál úspor energie v TJ]]*Úsporná_opatření[[#This Row],[Emisní koeficient CO2 eq '[kg/GJ']]]</f>
        <v>467504.13052979618</v>
      </c>
      <c r="S161" s="7">
        <f>VLOOKUP(Úsporná_opatření[[#This Row],[Šetřený nositel energie]] &amp; "#" &amp; Úsporná_opatření[[#This Row],[Nejpodobnější sektor]],Emiskoef,2,FALSE)</f>
        <v>243.30535699975164</v>
      </c>
      <c r="T161" s="7">
        <f>VLOOKUP(Úsporná_opatření[[#This Row],[Šetřený nositel energie]] &amp; "#" &amp; Úsporná_opatření[[#This Row],[Nejpodobnější sektor]],Emiskoef,3,FALSE)</f>
        <v>2.5994178058499644</v>
      </c>
      <c r="U161" s="7">
        <f>VLOOKUP(Úsporná_opatření[[#This Row],[Šetřený nositel energie]] &amp; "#" &amp; Úsporná_opatření[[#This Row],[Nejpodobnější sektor]],Emiskoef,4,FALSE)</f>
        <v>3.4119963077868793</v>
      </c>
      <c r="V16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1" s="4">
        <f>1000*Úsporná_opatření[[#This Row],[Investice '[Kč/GJ']]]/Úsporná_opatření[[#This Row],[Emisní koeficient CO2 eq '[kg/GJ']]]</f>
        <v>3437.1697212479826</v>
      </c>
      <c r="X161" s="7" t="s">
        <v>353</v>
      </c>
    </row>
    <row r="162" spans="2:24" x14ac:dyDescent="0.25">
      <c r="B162" s="3" t="s">
        <v>19</v>
      </c>
      <c r="C162" s="3" t="s">
        <v>61</v>
      </c>
      <c r="D162" s="3" t="s">
        <v>120</v>
      </c>
      <c r="E162" s="3" t="str">
        <f>CONCATENATE(Úsporná_opatření[[#This Row],[Sektor]],Úsporná_opatření[[#This Row],[Opatření]])</f>
        <v>DopravaVýměna stávajícího osvětlení za LED80</v>
      </c>
      <c r="F162" s="4">
        <v>840</v>
      </c>
      <c r="G162" s="11">
        <f>VLOOKUP(Úsporná_opatření[[#This Row],[Opatření podrobně]],Potenciál_opatření!$A$1:$C$191,3,0)</f>
        <v>0</v>
      </c>
      <c r="H162" s="13">
        <f>Úsporná_opatření[[#This Row],[Potenciál úspor energie v TJ]]*Úsporná_opatření[[#This Row],[Investice '[Kč/GJ']]]*1000</f>
        <v>65651598.54990229</v>
      </c>
      <c r="I162" s="13">
        <f>Úsporná_opatření[[#This Row],[Podíl dotace '[%']]]*Úsporná_opatření[[#This Row],[Investice]]</f>
        <v>0</v>
      </c>
      <c r="J162" s="3">
        <v>0.9</v>
      </c>
      <c r="K162" s="12">
        <f>VLOOKUP(Úsporná_opatření[[#This Row],[Opatření podrobně]],Potenciál_opatření!$A$1:$C$191,2,0)</f>
        <v>78.156664940359875</v>
      </c>
      <c r="L162" s="3">
        <v>8</v>
      </c>
      <c r="M162" s="3" t="s">
        <v>12</v>
      </c>
      <c r="N162" s="3" t="s">
        <v>283</v>
      </c>
      <c r="O162" s="4">
        <f>Úsporná_opatření[[#This Row],[Potenciál úspor energie v TJ]]*Úsporná_opatření[[#This Row],[Emisní koeficient CO2 '[kg/GJ']]]</f>
        <v>19015.935265224231</v>
      </c>
      <c r="P162" s="4">
        <f>Úsporná_opatření[[#This Row],[Potenciál úspor energie v TJ]]*Úsporná_opatření[[#This Row],[Emisní koeficient CH4 '[g/GJ']]]</f>
        <v>203.1618264918211</v>
      </c>
      <c r="Q162" s="4">
        <f>Úsporná_opatření[[#This Row],[Potenciál úspor energie v TJ]]*Úsporná_opatření[[#This Row],[Emisní koeficient N2O '[g/GJ']]]</f>
        <v>266.67025220544411</v>
      </c>
      <c r="R162" s="4">
        <f>Úsporná_opatření[[#This Row],[Potenciál úspor energie v TJ]]*Úsporná_opatření[[#This Row],[Emisní koeficient CO2 eq '[kg/GJ']]]</f>
        <v>19100.482046043751</v>
      </c>
      <c r="S162" s="7">
        <f>VLOOKUP(Úsporná_opatření[[#This Row],[Šetřený nositel energie]] &amp; "#" &amp; Úsporná_opatření[[#This Row],[Nejpodobnější sektor]],Emiskoef,2,FALSE)</f>
        <v>243.30535699975164</v>
      </c>
      <c r="T162" s="7">
        <f>VLOOKUP(Úsporná_opatření[[#This Row],[Šetřený nositel energie]] &amp; "#" &amp; Úsporná_opatření[[#This Row],[Nejpodobnější sektor]],Emiskoef,3,FALSE)</f>
        <v>2.5994178058499644</v>
      </c>
      <c r="U162" s="7">
        <f>VLOOKUP(Úsporná_opatření[[#This Row],[Šetřený nositel energie]] &amp; "#" &amp; Úsporná_opatření[[#This Row],[Nejpodobnější sektor]],Emiskoef,4,FALSE)</f>
        <v>3.4119963077868793</v>
      </c>
      <c r="V16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2" s="4">
        <f>1000*Úsporná_opatření[[#This Row],[Investice '[Kč/GJ']]]/Úsporná_opatření[[#This Row],[Emisní koeficient CO2 eq '[kg/GJ']]]</f>
        <v>3437.1697212479826</v>
      </c>
      <c r="X162" s="7" t="s">
        <v>353</v>
      </c>
    </row>
    <row r="163" spans="2:24" x14ac:dyDescent="0.25">
      <c r="B163" s="3" t="s">
        <v>7</v>
      </c>
      <c r="C163" s="3" t="s">
        <v>61</v>
      </c>
      <c r="D163" s="3" t="s">
        <v>132</v>
      </c>
      <c r="E163" s="3" t="str">
        <f>CONCATENATE(Úsporná_opatření[[#This Row],[Sektor]],Úsporná_opatření[[#This Row],[Opatření]])</f>
        <v>DomácnostiVýměna stávajícího osvětlení za LED80</v>
      </c>
      <c r="F163" s="4">
        <v>1400</v>
      </c>
      <c r="G163" s="11">
        <f>VLOOKUP(Úsporná_opatření[[#This Row],[Opatření podrobně]],Potenciál_opatření!$A$1:$C$191,3,0)</f>
        <v>0</v>
      </c>
      <c r="H163" s="13">
        <f>Úsporná_opatření[[#This Row],[Potenciál úspor energie v TJ]]*Úsporná_opatření[[#This Row],[Investice '[Kč/GJ']]]*1000</f>
        <v>3911745802.3145099</v>
      </c>
      <c r="I163" s="13">
        <f>Úsporná_opatření[[#This Row],[Podíl dotace '[%']]]*Úsporná_opatření[[#This Row],[Investice]]</f>
        <v>0</v>
      </c>
      <c r="J163" s="3">
        <v>0.9</v>
      </c>
      <c r="K163" s="12">
        <f>VLOOKUP(Úsporná_opatření[[#This Row],[Opatření podrobně]],Potenciál_opatření!$A$1:$C$191,2,0)</f>
        <v>2794.1041445103642</v>
      </c>
      <c r="L163" s="3">
        <v>8</v>
      </c>
      <c r="M163" s="3" t="s">
        <v>12</v>
      </c>
      <c r="N163" s="3" t="s">
        <v>7</v>
      </c>
      <c r="O163" s="4">
        <f>Úsporná_opatření[[#This Row],[Potenciál úspor energie v TJ]]*Úsporná_opatření[[#This Row],[Emisní koeficient CO2 '[kg/GJ']]]</f>
        <v>679820.50637457985</v>
      </c>
      <c r="P163" s="4">
        <f>Úsporná_opatření[[#This Row],[Potenciál úspor energie v TJ]]*Úsporná_opatření[[#This Row],[Emisní koeficient CH4 '[g/GJ']]]</f>
        <v>7263.0440646394227</v>
      </c>
      <c r="Q163" s="4">
        <f>Úsporná_opatření[[#This Row],[Potenciál úspor energie v TJ]]*Úsporná_opatření[[#This Row],[Emisní koeficient N2O '[g/GJ']]]</f>
        <v>9533.4730246413801</v>
      </c>
      <c r="R163" s="4">
        <f>Úsporná_opatření[[#This Row],[Potenciál úspor energie v TJ]]*Úsporná_opatření[[#This Row],[Emisní koeficient CO2 eq '[kg/GJ']]]</f>
        <v>682843.05743753898</v>
      </c>
      <c r="S163" s="7">
        <f>VLOOKUP(Úsporná_opatření[[#This Row],[Šetřený nositel energie]] &amp; "#" &amp; Úsporná_opatření[[#This Row],[Nejpodobnější sektor]],Emiskoef,2,FALSE)</f>
        <v>243.30535699975164</v>
      </c>
      <c r="T163" s="7">
        <f>VLOOKUP(Úsporná_opatření[[#This Row],[Šetřený nositel energie]] &amp; "#" &amp; Úsporná_opatření[[#This Row],[Nejpodobnější sektor]],Emiskoef,3,FALSE)</f>
        <v>2.5994178058499644</v>
      </c>
      <c r="U163" s="7">
        <f>VLOOKUP(Úsporná_opatření[[#This Row],[Šetřený nositel energie]] &amp; "#" &amp; Úsporná_opatření[[#This Row],[Nejpodobnější sektor]],Emiskoef,4,FALSE)</f>
        <v>3.4119963077868793</v>
      </c>
      <c r="V16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3" s="4">
        <f>1000*Úsporná_opatření[[#This Row],[Investice '[Kč/GJ']]]/Úsporná_opatření[[#This Row],[Emisní koeficient CO2 eq '[kg/GJ']]]</f>
        <v>5728.6162020799711</v>
      </c>
      <c r="X163" s="7" t="s">
        <v>353</v>
      </c>
    </row>
    <row r="164" spans="2:24" x14ac:dyDescent="0.25">
      <c r="B164" s="3" t="s">
        <v>4</v>
      </c>
      <c r="C164" s="3" t="s">
        <v>68</v>
      </c>
      <c r="D164" s="3" t="s">
        <v>128</v>
      </c>
      <c r="E164" s="3" t="str">
        <f>CONCATENATE(Úsporná_opatření[[#This Row],[Sektor]],Úsporná_opatření[[#This Row],[Opatření]])</f>
        <v>PrůmyslVýměna transformátoru</v>
      </c>
      <c r="F164" s="4">
        <v>3000</v>
      </c>
      <c r="G164" s="11">
        <f>VLOOKUP(Úsporná_opatření[[#This Row],[Opatření podrobně]],Potenciál_opatření!$A$1:$C$191,3,0)</f>
        <v>0.16666666666666663</v>
      </c>
      <c r="H164" s="13">
        <f>Úsporná_opatření[[#This Row],[Potenciál úspor energie v TJ]]*Úsporná_opatření[[#This Row],[Investice '[Kč/GJ']]]*1000</f>
        <v>639120087.34874988</v>
      </c>
      <c r="I164" s="13">
        <f>Úsporná_opatření[[#This Row],[Podíl dotace '[%']]]*Úsporná_opatření[[#This Row],[Investice]]</f>
        <v>106520014.55812496</v>
      </c>
      <c r="J164" s="3">
        <v>6</v>
      </c>
      <c r="K164" s="12">
        <f>VLOOKUP(Úsporná_opatření[[#This Row],[Opatření podrobně]],Potenciál_opatření!$A$1:$C$191,2,0)</f>
        <v>213.04002911624997</v>
      </c>
      <c r="L164" s="3">
        <v>20</v>
      </c>
      <c r="M164" s="3" t="s">
        <v>12</v>
      </c>
      <c r="N164" s="3" t="s">
        <v>5</v>
      </c>
      <c r="O164" s="4">
        <f>Úsporná_opatření[[#This Row],[Potenciál úspor energie v TJ]]*Úsporná_opatření[[#This Row],[Emisní koeficient CO2 '[kg/GJ']]]</f>
        <v>51833.780339366684</v>
      </c>
      <c r="P164" s="4">
        <f>Úsporná_opatření[[#This Row],[Potenciál úspor energie v TJ]]*Úsporná_opatření[[#This Row],[Emisní koeficient CH4 '[g/GJ']]]</f>
        <v>553.780045043575</v>
      </c>
      <c r="Q164" s="4">
        <f>Úsporná_opatření[[#This Row],[Potenciál úspor energie v TJ]]*Úsporná_opatření[[#This Row],[Emisní koeficient N2O '[g/GJ']]]</f>
        <v>726.89179275545416</v>
      </c>
      <c r="R164" s="4">
        <f>Úsporná_opatření[[#This Row],[Potenciál úspor energie v TJ]]*Úsporná_opatření[[#This Row],[Emisní koeficient CO2 eq '[kg/GJ']]]</f>
        <v>52064.238594733899</v>
      </c>
      <c r="S164" s="7">
        <f>VLOOKUP(Úsporná_opatření[[#This Row],[Šetřený nositel energie]] &amp; "#" &amp; Úsporná_opatření[[#This Row],[Nejpodobnější sektor]],Emiskoef,2,FALSE)</f>
        <v>243.30535699975164</v>
      </c>
      <c r="T164" s="7">
        <f>VLOOKUP(Úsporná_opatření[[#This Row],[Šetřený nositel energie]] &amp; "#" &amp; Úsporná_opatření[[#This Row],[Nejpodobnější sektor]],Emiskoef,3,FALSE)</f>
        <v>2.5994178058499644</v>
      </c>
      <c r="U164" s="7">
        <f>VLOOKUP(Úsporná_opatření[[#This Row],[Šetřený nositel energie]] &amp; "#" &amp; Úsporná_opatření[[#This Row],[Nejpodobnější sektor]],Emiskoef,4,FALSE)</f>
        <v>3.4119963077868793</v>
      </c>
      <c r="V16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4" s="4">
        <f>1000*Úsporná_opatření[[#This Row],[Investice '[Kč/GJ']]]/Úsporná_opatření[[#This Row],[Emisní koeficient CO2 eq '[kg/GJ']]]</f>
        <v>12275.606147314224</v>
      </c>
      <c r="X164" s="7" t="s">
        <v>351</v>
      </c>
    </row>
    <row r="165" spans="2:24" x14ac:dyDescent="0.25">
      <c r="B165" s="3" t="s">
        <v>4</v>
      </c>
      <c r="C165" s="3" t="s">
        <v>68</v>
      </c>
      <c r="D165" s="3" t="s">
        <v>143</v>
      </c>
      <c r="E165" s="3" t="str">
        <f>CONCATENATE(Úsporná_opatření[[#This Row],[Sektor]],Úsporná_opatření[[#This Row],[Opatření]])</f>
        <v>PrůmyslVýměna transformátoru</v>
      </c>
      <c r="F165" s="4">
        <v>4200</v>
      </c>
      <c r="G165" s="11">
        <f>VLOOKUP(Úsporná_opatření[[#This Row],[Opatření podrobně]],Potenciál_opatření!$A$1:$C$191,3,0)</f>
        <v>0.58333333333333326</v>
      </c>
      <c r="H165" s="13">
        <f>Úsporná_opatření[[#This Row],[Potenciál úspor energie v TJ]]*Úsporná_opatření[[#This Row],[Investice '[Kč/GJ']]]*1000</f>
        <v>4175584570.6784992</v>
      </c>
      <c r="I165" s="13">
        <f>Úsporná_opatření[[#This Row],[Podíl dotace '[%']]]*Úsporná_opatření[[#This Row],[Investice]]</f>
        <v>2435757666.2291241</v>
      </c>
      <c r="J165" s="3">
        <v>12</v>
      </c>
      <c r="K165" s="12">
        <f>VLOOKUP(Úsporná_opatření[[#This Row],[Opatření podrobně]],Potenciál_opatření!$A$1:$C$191,2,0)</f>
        <v>994.18680254249978</v>
      </c>
      <c r="L165" s="3">
        <v>20</v>
      </c>
      <c r="M165" s="3" t="s">
        <v>12</v>
      </c>
      <c r="N165" s="3" t="s">
        <v>5</v>
      </c>
      <c r="O165" s="4">
        <f>Úsporná_opatření[[#This Row],[Potenciál úspor energie v TJ]]*Úsporná_opatření[[#This Row],[Emisní koeficient CO2 '[kg/GJ']]]</f>
        <v>241890.97491704448</v>
      </c>
      <c r="P165" s="4">
        <f>Úsporná_opatření[[#This Row],[Potenciál úspor energie v TJ]]*Úsporná_opatření[[#This Row],[Emisní koeficient CH4 '[g/GJ']]]</f>
        <v>2584.3068768700164</v>
      </c>
      <c r="Q165" s="4">
        <f>Úsporná_opatření[[#This Row],[Potenciál úspor energie v TJ]]*Úsporná_opatření[[#This Row],[Emisní koeficient N2O '[g/GJ']]]</f>
        <v>3392.1616995254526</v>
      </c>
      <c r="R165" s="4">
        <f>Úsporná_opatření[[#This Row],[Potenciál úspor energie v TJ]]*Úsporná_opatření[[#This Row],[Emisní koeficient CO2 eq '[kg/GJ']]]</f>
        <v>242966.44677542485</v>
      </c>
      <c r="S165" s="7">
        <f>VLOOKUP(Úsporná_opatření[[#This Row],[Šetřený nositel energie]] &amp; "#" &amp; Úsporná_opatření[[#This Row],[Nejpodobnější sektor]],Emiskoef,2,FALSE)</f>
        <v>243.30535699975164</v>
      </c>
      <c r="T165" s="7">
        <f>VLOOKUP(Úsporná_opatření[[#This Row],[Šetřený nositel energie]] &amp; "#" &amp; Úsporná_opatření[[#This Row],[Nejpodobnější sektor]],Emiskoef,3,FALSE)</f>
        <v>2.5994178058499644</v>
      </c>
      <c r="U165" s="7">
        <f>VLOOKUP(Úsporná_opatření[[#This Row],[Šetřený nositel energie]] &amp; "#" &amp; Úsporná_opatření[[#This Row],[Nejpodobnější sektor]],Emiskoef,4,FALSE)</f>
        <v>3.4119963077868793</v>
      </c>
      <c r="V16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5" s="4">
        <f>1000*Úsporná_opatření[[#This Row],[Investice '[Kč/GJ']]]/Úsporná_opatření[[#This Row],[Emisní koeficient CO2 eq '[kg/GJ']]]</f>
        <v>17185.848606239913</v>
      </c>
      <c r="X165" s="7" t="s">
        <v>352</v>
      </c>
    </row>
    <row r="166" spans="2:24" x14ac:dyDescent="0.25">
      <c r="B166" s="3" t="s">
        <v>4</v>
      </c>
      <c r="C166" s="3" t="s">
        <v>68</v>
      </c>
      <c r="D166" s="3" t="s">
        <v>194</v>
      </c>
      <c r="E166" s="3" t="str">
        <f>CONCATENATE(Úsporná_opatření[[#This Row],[Sektor]],Úsporná_opatření[[#This Row],[Opatření]])</f>
        <v>PrůmyslVýměna transformátoru</v>
      </c>
      <c r="F166" s="4">
        <v>10800</v>
      </c>
      <c r="G166" s="11">
        <f>VLOOKUP(Úsporná_opatření[[#This Row],[Opatření podrobně]],Potenciál_opatření!$A$1:$C$191,3,0)</f>
        <v>0.64285714285714279</v>
      </c>
      <c r="H166" s="13">
        <f>Úsporná_opatření[[#This Row],[Potenciál úspor energie v TJ]]*Úsporná_opatření[[#This Row],[Investice '[Kč/GJ']]]*1000</f>
        <v>2300832314.4554996</v>
      </c>
      <c r="I166" s="13">
        <f>Úsporná_opatření[[#This Row],[Podíl dotace '[%']]]*Úsporná_opatření[[#This Row],[Investice]]</f>
        <v>1479106487.8642497</v>
      </c>
      <c r="J166" s="3">
        <v>14</v>
      </c>
      <c r="K166" s="12">
        <f>VLOOKUP(Úsporná_opatření[[#This Row],[Opatření podrobně]],Potenciál_opatření!$A$1:$C$191,2,0)</f>
        <v>213.04002911624997</v>
      </c>
      <c r="L166" s="3">
        <v>20</v>
      </c>
      <c r="M166" s="3" t="s">
        <v>12</v>
      </c>
      <c r="N166" s="3" t="s">
        <v>5</v>
      </c>
      <c r="O166" s="4">
        <f>Úsporná_opatření[[#This Row],[Potenciál úspor energie v TJ]]*Úsporná_opatření[[#This Row],[Emisní koeficient CO2 '[kg/GJ']]]</f>
        <v>51833.780339366684</v>
      </c>
      <c r="P166" s="4">
        <f>Úsporná_opatření[[#This Row],[Potenciál úspor energie v TJ]]*Úsporná_opatření[[#This Row],[Emisní koeficient CH4 '[g/GJ']]]</f>
        <v>553.780045043575</v>
      </c>
      <c r="Q166" s="4">
        <f>Úsporná_opatření[[#This Row],[Potenciál úspor energie v TJ]]*Úsporná_opatření[[#This Row],[Emisní koeficient N2O '[g/GJ']]]</f>
        <v>726.89179275545416</v>
      </c>
      <c r="R166" s="4">
        <f>Úsporná_opatření[[#This Row],[Potenciál úspor energie v TJ]]*Úsporná_opatření[[#This Row],[Emisní koeficient CO2 eq '[kg/GJ']]]</f>
        <v>52064.238594733899</v>
      </c>
      <c r="S166" s="7">
        <f>VLOOKUP(Úsporná_opatření[[#This Row],[Šetřený nositel energie]] &amp; "#" &amp; Úsporná_opatření[[#This Row],[Nejpodobnější sektor]],Emiskoef,2,FALSE)</f>
        <v>243.30535699975164</v>
      </c>
      <c r="T166" s="7">
        <f>VLOOKUP(Úsporná_opatření[[#This Row],[Šetřený nositel energie]] &amp; "#" &amp; Úsporná_opatření[[#This Row],[Nejpodobnější sektor]],Emiskoef,3,FALSE)</f>
        <v>2.5994178058499644</v>
      </c>
      <c r="U166" s="7">
        <f>VLOOKUP(Úsporná_opatření[[#This Row],[Šetřený nositel energie]] &amp; "#" &amp; Úsporná_opatření[[#This Row],[Nejpodobnější sektor]],Emiskoef,4,FALSE)</f>
        <v>3.4119963077868793</v>
      </c>
      <c r="V16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6" s="4">
        <f>1000*Úsporná_opatření[[#This Row],[Investice '[Kč/GJ']]]/Úsporná_opatření[[#This Row],[Emisní koeficient CO2 eq '[kg/GJ']]]</f>
        <v>44192.182130331203</v>
      </c>
      <c r="X166" s="7" t="s">
        <v>353</v>
      </c>
    </row>
    <row r="167" spans="2:24" x14ac:dyDescent="0.25">
      <c r="B167" s="3" t="s">
        <v>4</v>
      </c>
      <c r="C167" s="3" t="s">
        <v>57</v>
      </c>
      <c r="D167" s="3" t="s">
        <v>97</v>
      </c>
      <c r="E167" s="3" t="str">
        <f>CONCATENATE(Úsporná_opatření[[#This Row],[Sektor]],Úsporná_opatření[[#This Row],[Opatření]])</f>
        <v>PrůmyslVyužití odpadního tepla</v>
      </c>
      <c r="F167" s="4">
        <v>757.6421110776339</v>
      </c>
      <c r="G167" s="11">
        <f>VLOOKUP(Úsporná_opatření[[#This Row],[Opatření podrobně]],Potenciál_opatření!$A$1:$C$191,3,0)</f>
        <v>0</v>
      </c>
      <c r="H167" s="13">
        <f>Úsporná_opatření[[#This Row],[Potenciál úspor energie v TJ]]*Úsporná_opatření[[#This Row],[Investice '[Kč/GJ']]]*1000</f>
        <v>50058179.018866792</v>
      </c>
      <c r="I167" s="13">
        <f>Úsporná_opatření[[#This Row],[Podíl dotace '[%']]]*Úsporná_opatření[[#This Row],[Investice]]</f>
        <v>0</v>
      </c>
      <c r="J167" s="3">
        <v>1</v>
      </c>
      <c r="K167" s="12">
        <f>VLOOKUP(Úsporná_opatření[[#This Row],[Opatření podrobně]],Potenciál_opatření!$A$1:$C$191,2,0)</f>
        <v>66.071009368349962</v>
      </c>
      <c r="L167" s="3">
        <v>20</v>
      </c>
      <c r="M167" s="3" t="s">
        <v>44</v>
      </c>
      <c r="N167" s="3" t="s">
        <v>4</v>
      </c>
      <c r="O167" s="4">
        <f>Úsporná_opatření[[#This Row],[Potenciál úspor energie v TJ]]*Úsporná_opatření[[#This Row],[Emisní koeficient CO2 '[kg/GJ']]]</f>
        <v>4380.4678586192549</v>
      </c>
      <c r="P167" s="4">
        <f>Úsporná_opatření[[#This Row],[Potenciál úspor energie v TJ]]*Úsporná_opatření[[#This Row],[Emisní koeficient CH4 '[g/GJ']]]</f>
        <v>318.30923972988228</v>
      </c>
      <c r="Q167" s="4">
        <f>Úsporná_opatření[[#This Row],[Potenciál úspor energie v TJ]]*Úsporná_opatření[[#This Row],[Emisní koeficient N2O '[g/GJ']]]</f>
        <v>55.833477802949005</v>
      </c>
      <c r="R167" s="4">
        <f>Úsporná_opatření[[#This Row],[Potenciál úspor energie v TJ]]*Úsporná_opatření[[#This Row],[Emisní koeficient CO2 eq '[kg/GJ']]]</f>
        <v>4405.0639659977805</v>
      </c>
      <c r="S167" s="7">
        <f>VLOOKUP(Úsporná_opatření[[#This Row],[Šetřený nositel energie]] &amp; "#" &amp; Úsporná_opatření[[#This Row],[Nejpodobnější sektor]],Emiskoef,2,FALSE)</f>
        <v>66.299393644765985</v>
      </c>
      <c r="T167" s="7">
        <f>VLOOKUP(Úsporná_opatření[[#This Row],[Šetřený nositel energie]] &amp; "#" &amp; Úsporná_opatření[[#This Row],[Nejpodobnější sektor]],Emiskoef,3,FALSE)</f>
        <v>4.8176839248101775</v>
      </c>
      <c r="U167" s="7">
        <f>VLOOKUP(Úsporná_opatření[[#This Row],[Šetřený nositel energie]] &amp; "#" &amp; Úsporná_opatření[[#This Row],[Nejpodobnější sektor]],Emiskoef,4,FALSE)</f>
        <v>0.84505259321337012</v>
      </c>
      <c r="V167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67" s="4">
        <f>1000*Úsporná_opatření[[#This Row],[Investice '[Kč/GJ']]]/Úsporná_opatření[[#This Row],[Emisní koeficient CO2 eq '[kg/GJ']]]</f>
        <v>11363.78027771232</v>
      </c>
      <c r="X167" s="7" t="s">
        <v>351</v>
      </c>
    </row>
    <row r="168" spans="2:24" x14ac:dyDescent="0.25">
      <c r="B168" s="3" t="s">
        <v>4</v>
      </c>
      <c r="C168" s="3" t="s">
        <v>57</v>
      </c>
      <c r="D168" s="3" t="s">
        <v>101</v>
      </c>
      <c r="E168" s="3" t="str">
        <f>CONCATENATE(Úsporná_opatření[[#This Row],[Sektor]],Úsporná_opatření[[#This Row],[Opatření]])</f>
        <v>PrůmyslVyužití odpadního tepla</v>
      </c>
      <c r="F168" s="4">
        <v>1256.4272622275785</v>
      </c>
      <c r="G168" s="11">
        <f>VLOOKUP(Úsporná_opatření[[#This Row],[Opatření podrobně]],Potenciál_opatření!$A$1:$C$191,3,0)</f>
        <v>0</v>
      </c>
      <c r="H168" s="13">
        <f>Úsporná_opatření[[#This Row],[Potenciál úspor energie v TJ]]*Úsporná_opatření[[#This Row],[Investice '[Kč/GJ']]]*1000</f>
        <v>2199855561.4521489</v>
      </c>
      <c r="I168" s="13">
        <f>Úsporná_opatření[[#This Row],[Podíl dotace '[%']]]*Úsporná_opatření[[#This Row],[Investice]]</f>
        <v>0</v>
      </c>
      <c r="J168" s="3">
        <v>5</v>
      </c>
      <c r="K168" s="12">
        <f>VLOOKUP(Úsporná_opatření[[#This Row],[Opatření podrobně]],Potenciál_opatření!$A$1:$C$191,2,0)</f>
        <v>1750.8817482612742</v>
      </c>
      <c r="L168" s="3">
        <v>20</v>
      </c>
      <c r="M168" s="3" t="s">
        <v>12</v>
      </c>
      <c r="N168" s="3" t="s">
        <v>4</v>
      </c>
      <c r="O168" s="4">
        <f>Úsporná_opatření[[#This Row],[Potenciál úspor energie v TJ]]*Úsporná_opatření[[#This Row],[Emisní koeficient CO2 '[kg/GJ']]]</f>
        <v>425998.90882505861</v>
      </c>
      <c r="P168" s="4">
        <f>Úsporná_opatření[[#This Row],[Potenciál úspor energie v TJ]]*Úsporná_opatření[[#This Row],[Emisní koeficient CH4 '[g/GJ']]]</f>
        <v>4551.2731923680712</v>
      </c>
      <c r="Q168" s="4">
        <f>Úsporná_opatření[[#This Row],[Potenciál úspor energie v TJ]]*Úsporná_opatření[[#This Row],[Emisní koeficient N2O '[g/GJ']]]</f>
        <v>5974.0020604389038</v>
      </c>
      <c r="R168" s="4">
        <f>Úsporná_opatření[[#This Row],[Potenciál úspor energie v TJ]]*Úsporná_opatření[[#This Row],[Emisní koeficient CO2 eq '[kg/GJ']]]</f>
        <v>427892.94326887862</v>
      </c>
      <c r="S168" s="7">
        <f>VLOOKUP(Úsporná_opatření[[#This Row],[Šetřený nositel energie]] &amp; "#" &amp; Úsporná_opatření[[#This Row],[Nejpodobnější sektor]],Emiskoef,2,FALSE)</f>
        <v>243.30535699975164</v>
      </c>
      <c r="T168" s="7">
        <f>VLOOKUP(Úsporná_opatření[[#This Row],[Šetřený nositel energie]] &amp; "#" &amp; Úsporná_opatření[[#This Row],[Nejpodobnější sektor]],Emiskoef,3,FALSE)</f>
        <v>2.5994178058499644</v>
      </c>
      <c r="U168" s="7">
        <f>VLOOKUP(Úsporná_opatření[[#This Row],[Šetřený nositel energie]] &amp; "#" &amp; Úsporná_opatření[[#This Row],[Nejpodobnější sektor]],Emiskoef,4,FALSE)</f>
        <v>3.4119963077868793</v>
      </c>
      <c r="V16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8" s="4">
        <f>1000*Úsporná_opatření[[#This Row],[Investice '[Kč/GJ']]]/Úsporná_opatření[[#This Row],[Emisní koeficient CO2 eq '[kg/GJ']]]</f>
        <v>5141.1354079513476</v>
      </c>
      <c r="X168" s="7" t="s">
        <v>352</v>
      </c>
    </row>
    <row r="169" spans="2:24" x14ac:dyDescent="0.25">
      <c r="B169" s="3" t="s">
        <v>4</v>
      </c>
      <c r="C169" s="3" t="s">
        <v>57</v>
      </c>
      <c r="D169" s="3" t="s">
        <v>108</v>
      </c>
      <c r="E169" s="3" t="str">
        <f>CONCATENATE(Úsporná_opatření[[#This Row],[Sektor]],Úsporná_opatření[[#This Row],[Opatření]])</f>
        <v>PrůmyslVyužití odpadního tepla</v>
      </c>
      <c r="F169" s="4">
        <v>1781.0591794717286</v>
      </c>
      <c r="G169" s="11">
        <f>VLOOKUP(Úsporná_opatření[[#This Row],[Opatření podrobně]],Potenciál_opatření!$A$1:$C$191,3,0)</f>
        <v>0.58333333333333326</v>
      </c>
      <c r="H169" s="13">
        <f>Úsporná_opatření[[#This Row],[Potenciál úspor energie v TJ]]*Úsporná_opatření[[#This Row],[Investice '[Kč/GJ']]]*1000</f>
        <v>2647718498.980401</v>
      </c>
      <c r="I169" s="13">
        <f>Úsporná_opatření[[#This Row],[Podíl dotace '[%']]]*Úsporná_opatření[[#This Row],[Investice]]</f>
        <v>1544502457.7385671</v>
      </c>
      <c r="J169" s="3">
        <v>12</v>
      </c>
      <c r="K169" s="12">
        <f>VLOOKUP(Úsporná_opatření[[#This Row],[Opatření podrobně]],Potenciál_opatření!$A$1:$C$191,2,0)</f>
        <v>1486.5977107878741</v>
      </c>
      <c r="L169" s="3">
        <v>20</v>
      </c>
      <c r="M169" s="3" t="s">
        <v>12</v>
      </c>
      <c r="N169" s="3" t="s">
        <v>4</v>
      </c>
      <c r="O169" s="4">
        <f>Úsporná_opatření[[#This Row],[Potenciál úspor energie v TJ]]*Úsporná_opatření[[#This Row],[Emisní koeficient CO2 '[kg/GJ']]]</f>
        <v>361697.18673825724</v>
      </c>
      <c r="P169" s="4">
        <f>Úsporná_opatření[[#This Row],[Potenciál úspor energie v TJ]]*Úsporná_opatření[[#This Row],[Emisní koeficient CH4 '[g/GJ']]]</f>
        <v>3864.2885595577959</v>
      </c>
      <c r="Q169" s="4">
        <f>Úsporná_opatření[[#This Row],[Potenciál úspor energie v TJ]]*Úsporná_opatření[[#This Row],[Emisní koeficient N2O '[g/GJ']]]</f>
        <v>5072.265900372654</v>
      </c>
      <c r="R169" s="4">
        <f>Úsporná_opatření[[#This Row],[Potenciál úspor energie v TJ]]*Úsporná_opatření[[#This Row],[Emisní koeficient CO2 eq '[kg/GJ']]]</f>
        <v>363305.32919055724</v>
      </c>
      <c r="S169" s="7">
        <f>VLOOKUP(Úsporná_opatření[[#This Row],[Šetřený nositel energie]] &amp; "#" &amp; Úsporná_opatření[[#This Row],[Nejpodobnější sektor]],Emiskoef,2,FALSE)</f>
        <v>243.30535699975164</v>
      </c>
      <c r="T169" s="7">
        <f>VLOOKUP(Úsporná_opatření[[#This Row],[Šetřený nositel energie]] &amp; "#" &amp; Úsporná_opatření[[#This Row],[Nejpodobnější sektor]],Emiskoef,3,FALSE)</f>
        <v>2.5994178058499644</v>
      </c>
      <c r="U169" s="7">
        <f>VLOOKUP(Úsporná_opatření[[#This Row],[Šetřený nositel energie]] &amp; "#" &amp; Úsporná_opatření[[#This Row],[Nejpodobnější sektor]],Emiskoef,4,FALSE)</f>
        <v>3.4119963077868793</v>
      </c>
      <c r="V16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9" s="4">
        <f>1000*Úsporná_opatření[[#This Row],[Investice '[Kč/GJ']]]/Úsporná_opatření[[#This Row],[Emisní koeficient CO2 eq '[kg/GJ']]]</f>
        <v>7287.8603374178592</v>
      </c>
      <c r="X169" s="7" t="s">
        <v>353</v>
      </c>
    </row>
    <row r="170" spans="2:24" x14ac:dyDescent="0.25">
      <c r="B170" s="3" t="s">
        <v>6</v>
      </c>
      <c r="C170" s="3" t="s">
        <v>77</v>
      </c>
      <c r="D170" s="3" t="s">
        <v>180</v>
      </c>
      <c r="E170" s="3" t="str">
        <f>CONCATENATE(Úsporná_opatření[[#This Row],[Sektor]],Úsporná_opatření[[#This Row],[Opatření]])</f>
        <v>SlužbyZáměna ohřívače TUV tepelným čerpadlem</v>
      </c>
      <c r="F170" s="4">
        <v>8100</v>
      </c>
      <c r="G170" s="11">
        <f>VLOOKUP(Úsporná_opatření[[#This Row],[Opatření podrobně]],Potenciál_opatření!$A$1:$C$191,3,0)</f>
        <v>0.44444444444444442</v>
      </c>
      <c r="H170" s="13">
        <f>Úsporná_opatření[[#This Row],[Potenciál úspor energie v TJ]]*Úsporná_opatření[[#This Row],[Investice '[Kč/GJ']]]*1000</f>
        <v>3523392323.2141976</v>
      </c>
      <c r="I170" s="13">
        <f>Úsporná_opatření[[#This Row],[Podíl dotace '[%']]]*Úsporná_opatření[[#This Row],[Investice]]</f>
        <v>1565952143.6507545</v>
      </c>
      <c r="J170" s="3">
        <v>9</v>
      </c>
      <c r="K170" s="12">
        <f>VLOOKUP(Úsporná_opatření[[#This Row],[Opatření podrobně]],Potenciál_opatření!$A$1:$C$191,2,0)</f>
        <v>434.98670656965402</v>
      </c>
      <c r="L170" s="3">
        <v>20</v>
      </c>
      <c r="M170" s="3" t="s">
        <v>12</v>
      </c>
      <c r="N170" s="3" t="s">
        <v>6</v>
      </c>
      <c r="O170" s="4">
        <f>Úsporná_opatření[[#This Row],[Potenciál úspor energie v TJ]]*Úsporná_opatření[[#This Row],[Emisní koeficient CO2 '[kg/GJ']]]</f>
        <v>105834.59593207588</v>
      </c>
      <c r="P170" s="4">
        <f>Úsporná_opatření[[#This Row],[Potenciál úspor energie v TJ]]*Úsporná_opatření[[#This Row],[Emisní koeficient CH4 '[g/GJ']]]</f>
        <v>1130.7121903651923</v>
      </c>
      <c r="Q170" s="4">
        <f>Úsporná_opatření[[#This Row],[Potenciál úspor energie v TJ]]*Úsporná_opatření[[#This Row],[Emisní koeficient N2O '[g/GJ']]]</f>
        <v>1484.1730367520342</v>
      </c>
      <c r="R170" s="4">
        <f>Úsporná_opatření[[#This Row],[Potenciál úspor energie v TJ]]*Úsporná_opatření[[#This Row],[Emisní koeficient CO2 eq '[kg/GJ']]]</f>
        <v>106305.14730178712</v>
      </c>
      <c r="S170" s="7">
        <f>VLOOKUP(Úsporná_opatření[[#This Row],[Šetřený nositel energie]] &amp; "#" &amp; Úsporná_opatření[[#This Row],[Nejpodobnější sektor]],Emiskoef,2,FALSE)</f>
        <v>243.30535699975164</v>
      </c>
      <c r="T170" s="7">
        <f>VLOOKUP(Úsporná_opatření[[#This Row],[Šetřený nositel energie]] &amp; "#" &amp; Úsporná_opatření[[#This Row],[Nejpodobnější sektor]],Emiskoef,3,FALSE)</f>
        <v>2.5994178058499644</v>
      </c>
      <c r="U170" s="7">
        <f>VLOOKUP(Úsporná_opatření[[#This Row],[Šetřený nositel energie]] &amp; "#" &amp; Úsporná_opatření[[#This Row],[Nejpodobnější sektor]],Emiskoef,4,FALSE)</f>
        <v>3.4119963077868793</v>
      </c>
      <c r="V17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70" s="4">
        <f>1000*Úsporná_opatření[[#This Row],[Investice '[Kč/GJ']]]/Úsporná_opatření[[#This Row],[Emisní koeficient CO2 eq '[kg/GJ']]]</f>
        <v>33144.136597748402</v>
      </c>
      <c r="X170" s="7" t="s">
        <v>352</v>
      </c>
    </row>
    <row r="171" spans="2:24" x14ac:dyDescent="0.25">
      <c r="B171" s="3" t="s">
        <v>311</v>
      </c>
      <c r="C171" s="3" t="s">
        <v>77</v>
      </c>
      <c r="D171" s="3" t="s">
        <v>181</v>
      </c>
      <c r="E171" s="3" t="str">
        <f>CONCATENATE(Úsporná_opatření[[#This Row],[Sektor]],Úsporná_opatření[[#This Row],[Opatření]])</f>
        <v>veřejná správaZáměna ohřívače TUV tepelným čerpadlem</v>
      </c>
      <c r="F171" s="4">
        <v>8100</v>
      </c>
      <c r="G171" s="11">
        <f>VLOOKUP(Úsporná_opatření[[#This Row],[Opatření podrobně]],Potenciál_opatření!$A$1:$C$191,3,0)</f>
        <v>0</v>
      </c>
      <c r="H171" s="13">
        <f>Úsporná_opatření[[#This Row],[Potenciál úspor energie v TJ]]*Úsporná_opatření[[#This Row],[Investice '[Kč/GJ']]]*1000</f>
        <v>2783019567.2712111</v>
      </c>
      <c r="I171" s="13">
        <f>Úsporná_opatření[[#This Row],[Podíl dotace '[%']]]*Úsporná_opatření[[#This Row],[Investice]]</f>
        <v>0</v>
      </c>
      <c r="J171" s="3">
        <v>9</v>
      </c>
      <c r="K171" s="12">
        <f>VLOOKUP(Úsporná_opatření[[#This Row],[Opatření podrobně]],Potenciál_opatření!$A$1:$C$191,2,0)</f>
        <v>343.58266262607543</v>
      </c>
      <c r="L171" s="3">
        <v>20</v>
      </c>
      <c r="M171" s="3" t="s">
        <v>12</v>
      </c>
      <c r="N171" s="3" t="s">
        <v>8</v>
      </c>
      <c r="O171" s="4">
        <f>Úsporná_opatření[[#This Row],[Potenciál úspor energie v TJ]]*Úsporná_opatření[[#This Row],[Emisní koeficient CO2 '[kg/GJ']]]</f>
        <v>83595.502389162502</v>
      </c>
      <c r="P171" s="4">
        <f>Úsporná_opatření[[#This Row],[Potenciál úspor energie v TJ]]*Úsporná_opatření[[#This Row],[Emisní koeficient CH4 '[g/GJ']]]</f>
        <v>893.11489101156155</v>
      </c>
      <c r="Q171" s="4">
        <f>Úsporná_opatření[[#This Row],[Potenciál úspor energie v TJ]]*Úsporná_opatření[[#This Row],[Emisní koeficient N2O '[g/GJ']]]</f>
        <v>1172.3027762997544</v>
      </c>
      <c r="R171" s="4">
        <f>Úsporná_opatření[[#This Row],[Potenciál úspor energie v TJ]]*Úsporná_opatření[[#This Row],[Emisní koeficient CO2 eq '[kg/GJ']]]</f>
        <v>83967.176488775134</v>
      </c>
      <c r="S171" s="7">
        <f>VLOOKUP(Úsporná_opatření[[#This Row],[Šetřený nositel energie]] &amp; "#" &amp; Úsporná_opatření[[#This Row],[Nejpodobnější sektor]],Emiskoef,2,FALSE)</f>
        <v>243.30535699975164</v>
      </c>
      <c r="T171" s="7">
        <f>VLOOKUP(Úsporná_opatření[[#This Row],[Šetřený nositel energie]] &amp; "#" &amp; Úsporná_opatření[[#This Row],[Nejpodobnější sektor]],Emiskoef,3,FALSE)</f>
        <v>2.5994178058499644</v>
      </c>
      <c r="U171" s="7">
        <f>VLOOKUP(Úsporná_opatření[[#This Row],[Šetřený nositel energie]] &amp; "#" &amp; Úsporná_opatření[[#This Row],[Nejpodobnější sektor]],Emiskoef,4,FALSE)</f>
        <v>3.4119963077868793</v>
      </c>
      <c r="V17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71" s="4">
        <f>1000*Úsporná_opatření[[#This Row],[Investice '[Kč/GJ']]]/Úsporná_opatření[[#This Row],[Emisní koeficient CO2 eq '[kg/GJ']]]</f>
        <v>33144.136597748402</v>
      </c>
      <c r="X171" s="7" t="s">
        <v>352</v>
      </c>
    </row>
    <row r="172" spans="2:24" x14ac:dyDescent="0.25">
      <c r="B172" s="3" t="s">
        <v>7</v>
      </c>
      <c r="C172" s="3" t="s">
        <v>77</v>
      </c>
      <c r="D172" s="3" t="s">
        <v>190</v>
      </c>
      <c r="E172" s="3" t="str">
        <f>CONCATENATE(Úsporná_opatření[[#This Row],[Sektor]],Úsporná_opatření[[#This Row],[Opatření]])</f>
        <v>DomácnostiZáměna ohřívače TUV tepelným čerpadlem</v>
      </c>
      <c r="F172" s="4">
        <v>9900</v>
      </c>
      <c r="G172" s="11">
        <f>VLOOKUP(Úsporná_opatření[[#This Row],[Opatření podrobně]],Potenciál_opatření!$A$1:$C$191,3,0)</f>
        <v>0</v>
      </c>
      <c r="H172" s="13">
        <f>Úsporná_opatření[[#This Row],[Potenciál úspor energie v TJ]]*Úsporná_opatření[[#This Row],[Investice '[Kč/GJ']]]*1000</f>
        <v>30405580799.396412</v>
      </c>
      <c r="I172" s="13">
        <f>Úsporná_opatření[[#This Row],[Podíl dotace '[%']]]*Úsporná_opatření[[#This Row],[Investice]]</f>
        <v>0</v>
      </c>
      <c r="J172" s="3">
        <v>9</v>
      </c>
      <c r="K172" s="12">
        <f>VLOOKUP(Úsporná_opatření[[#This Row],[Opatření podrobně]],Potenciál_opatření!$A$1:$C$191,2,0)</f>
        <v>3071.2707878178194</v>
      </c>
      <c r="L172" s="3">
        <v>20</v>
      </c>
      <c r="M172" s="3" t="s">
        <v>12</v>
      </c>
      <c r="N172" s="3" t="s">
        <v>7</v>
      </c>
      <c r="O172" s="4">
        <f>Úsporná_opatření[[#This Row],[Potenciál úspor energie v TJ]]*Úsporná_opatření[[#This Row],[Emisní koeficient CO2 '[kg/GJ']]]</f>
        <v>747256.63547292305</v>
      </c>
      <c r="P172" s="4">
        <f>Úsporná_opatření[[#This Row],[Potenciál úspor energie v TJ]]*Úsporná_opatření[[#This Row],[Emisní koeficient CH4 '[g/GJ']]]</f>
        <v>7983.5159724404875</v>
      </c>
      <c r="Q172" s="4">
        <f>Úsporná_opatření[[#This Row],[Potenciál úspor energie v TJ]]*Úsporná_opatření[[#This Row],[Emisní koeficient N2O '[g/GJ']]]</f>
        <v>10479.164588248101</v>
      </c>
      <c r="R172" s="4">
        <f>Úsporná_opatření[[#This Row],[Potenciál úspor energie v TJ]]*Úsporná_opatření[[#This Row],[Emisní koeficient CO2 eq '[kg/GJ']]]</f>
        <v>750579.01441953203</v>
      </c>
      <c r="S172" s="7">
        <f>VLOOKUP(Úsporná_opatření[[#This Row],[Šetřený nositel energie]] &amp; "#" &amp; Úsporná_opatření[[#This Row],[Nejpodobnější sektor]],Emiskoef,2,FALSE)</f>
        <v>243.30535699975164</v>
      </c>
      <c r="T172" s="7">
        <f>VLOOKUP(Úsporná_opatření[[#This Row],[Šetřený nositel energie]] &amp; "#" &amp; Úsporná_opatření[[#This Row],[Nejpodobnější sektor]],Emiskoef,3,FALSE)</f>
        <v>2.5994178058499644</v>
      </c>
      <c r="U172" s="7">
        <f>VLOOKUP(Úsporná_opatření[[#This Row],[Šetřený nositel energie]] &amp; "#" &amp; Úsporná_opatření[[#This Row],[Nejpodobnější sektor]],Emiskoef,4,FALSE)</f>
        <v>3.4119963077868793</v>
      </c>
      <c r="V17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72" s="4">
        <f>1000*Úsporná_opatření[[#This Row],[Investice '[Kč/GJ']]]/Úsporná_opatření[[#This Row],[Emisní koeficient CO2 eq '[kg/GJ']]]</f>
        <v>40509.500286136936</v>
      </c>
      <c r="X172" s="7" t="s">
        <v>352</v>
      </c>
    </row>
    <row r="173" spans="2:24" x14ac:dyDescent="0.25">
      <c r="B173" s="3" t="s">
        <v>4</v>
      </c>
      <c r="C173" s="3" t="s">
        <v>69</v>
      </c>
      <c r="D173" s="3" t="s">
        <v>135</v>
      </c>
      <c r="E173" s="3" t="str">
        <f>CONCATENATE(Úsporná_opatření[[#This Row],[Sektor]],Úsporná_opatření[[#This Row],[Opatření]])</f>
        <v>PrůmyslZateplení budovy</v>
      </c>
      <c r="F173" s="4">
        <v>4453.9309051084947</v>
      </c>
      <c r="G173" s="11">
        <f>VLOOKUP(Úsporná_opatření[[#This Row],[Opatření podrobně]],Potenciál_opatření!$A$1:$C$191,3,0)</f>
        <v>0.58333333333333326</v>
      </c>
      <c r="H173" s="13">
        <f>Úsporná_opatření[[#This Row],[Potenciál úspor energie v TJ]]*Úsporná_opatření[[#This Row],[Investice '[Kč/GJ']]]*1000</f>
        <v>9651220351.1503811</v>
      </c>
      <c r="I173" s="13">
        <f>Úsporná_opatření[[#This Row],[Podíl dotace '[%']]]*Úsporná_opatření[[#This Row],[Investice]]</f>
        <v>5629878538.1710548</v>
      </c>
      <c r="J173" s="3">
        <v>12</v>
      </c>
      <c r="K173" s="12">
        <f>VLOOKUP(Úsporná_opatření[[#This Row],[Opatření podrobně]],Potenciál_opatření!$A$1:$C$191,2,0)</f>
        <v>2166.8994326070001</v>
      </c>
      <c r="L173" s="3">
        <v>25</v>
      </c>
      <c r="M173" s="3" t="s">
        <v>44</v>
      </c>
      <c r="N173" s="3" t="s">
        <v>4</v>
      </c>
      <c r="O173" s="4">
        <f>Úsporná_opatření[[#This Row],[Potenciál úspor energie v TJ]]*Úsporná_opatření[[#This Row],[Emisní koeficient CO2 '[kg/GJ']]]</f>
        <v>143664.11847103157</v>
      </c>
      <c r="P173" s="4">
        <f>Úsporná_opatření[[#This Row],[Potenciál úspor energie v TJ]]*Úsporná_opatření[[#This Row],[Emisní koeficient CH4 '[g/GJ']]]</f>
        <v>10439.436563151039</v>
      </c>
      <c r="Q173" s="4">
        <f>Úsporná_opatření[[#This Row],[Potenciál úspor energie v TJ]]*Úsporná_opatření[[#This Row],[Emisní koeficient N2O '[g/GJ']]]</f>
        <v>1831.1439847571257</v>
      </c>
      <c r="R173" s="4">
        <f>Úsporná_opatření[[#This Row],[Potenciál úspor energie v TJ]]*Úsporná_opatření[[#This Row],[Emisní koeficient CO2 eq '[kg/GJ']]]</f>
        <v>144470.78529256795</v>
      </c>
      <c r="S173" s="7">
        <f>VLOOKUP(Úsporná_opatření[[#This Row],[Šetřený nositel energie]] &amp; "#" &amp; Úsporná_opatření[[#This Row],[Nejpodobnější sektor]],Emiskoef,2,FALSE)</f>
        <v>66.299393644765985</v>
      </c>
      <c r="T173" s="7">
        <f>VLOOKUP(Úsporná_opatření[[#This Row],[Šetřený nositel energie]] &amp; "#" &amp; Úsporná_opatření[[#This Row],[Nejpodobnější sektor]],Emiskoef,3,FALSE)</f>
        <v>4.8176839248101775</v>
      </c>
      <c r="U173" s="7">
        <f>VLOOKUP(Úsporná_opatření[[#This Row],[Šetřený nositel energie]] &amp; "#" &amp; Úsporná_opatření[[#This Row],[Nejpodobnější sektor]],Emiskoef,4,FALSE)</f>
        <v>0.84505259321337012</v>
      </c>
      <c r="V173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73" s="4">
        <f>1000*Úsporná_opatření[[#This Row],[Investice '[Kč/GJ']]]/Úsporná_opatření[[#This Row],[Emisní koeficient CO2 eq '[kg/GJ']]]</f>
        <v>66803.958541553453</v>
      </c>
      <c r="X173" s="7" t="s">
        <v>351</v>
      </c>
    </row>
    <row r="174" spans="2:24" x14ac:dyDescent="0.25">
      <c r="B174" s="3" t="s">
        <v>4</v>
      </c>
      <c r="C174" s="3" t="s">
        <v>69</v>
      </c>
      <c r="D174" s="3" t="s">
        <v>152</v>
      </c>
      <c r="E174" s="3" t="str">
        <f>CONCATENATE(Úsporná_opatření[[#This Row],[Sektor]],Úsporná_opatření[[#This Row],[Opatření]])</f>
        <v>PrůmyslZateplení budovy</v>
      </c>
      <c r="F174" s="4">
        <v>6372.8797572823169</v>
      </c>
      <c r="G174" s="11">
        <f>VLOOKUP(Úsporná_opatření[[#This Row],[Opatření podrobně]],Potenciál_opatření!$A$1:$C$191,3,0)</f>
        <v>0.75</v>
      </c>
      <c r="H174" s="13">
        <f>Úsporná_opatření[[#This Row],[Potenciál úspor energie v TJ]]*Úsporná_opatření[[#This Row],[Investice '[Kč/GJ']]]*1000</f>
        <v>27618779060.255379</v>
      </c>
      <c r="I174" s="13">
        <f>Úsporná_opatření[[#This Row],[Podíl dotace '[%']]]*Úsporná_opatření[[#This Row],[Investice]]</f>
        <v>20714084295.191536</v>
      </c>
      <c r="J174" s="3">
        <v>20</v>
      </c>
      <c r="K174" s="12">
        <f>VLOOKUP(Úsporná_opatření[[#This Row],[Opatření podrobně]],Potenciál_opatření!$A$1:$C$191,2,0)</f>
        <v>4333.7988652140002</v>
      </c>
      <c r="L174" s="3">
        <v>25</v>
      </c>
      <c r="M174" s="3" t="s">
        <v>44</v>
      </c>
      <c r="N174" s="3" t="s">
        <v>4</v>
      </c>
      <c r="O174" s="4">
        <f>Úsporná_opatření[[#This Row],[Potenciál úspor energie v TJ]]*Úsporná_opatření[[#This Row],[Emisní koeficient CO2 '[kg/GJ']]]</f>
        <v>287328.23694206314</v>
      </c>
      <c r="P174" s="4">
        <f>Úsporná_opatření[[#This Row],[Potenciál úspor energie v TJ]]*Úsporná_opatření[[#This Row],[Emisní koeficient CH4 '[g/GJ']]]</f>
        <v>20878.873126302078</v>
      </c>
      <c r="Q174" s="4">
        <f>Úsporná_opatření[[#This Row],[Potenciál úspor energie v TJ]]*Úsporná_opatření[[#This Row],[Emisní koeficient N2O '[g/GJ']]]</f>
        <v>3662.2879695142515</v>
      </c>
      <c r="R174" s="4">
        <f>Úsporná_opatření[[#This Row],[Potenciál úspor energie v TJ]]*Úsporná_opatření[[#This Row],[Emisní koeficient CO2 eq '[kg/GJ']]]</f>
        <v>288941.57058513589</v>
      </c>
      <c r="S174" s="7">
        <f>VLOOKUP(Úsporná_opatření[[#This Row],[Šetřený nositel energie]] &amp; "#" &amp; Úsporná_opatření[[#This Row],[Nejpodobnější sektor]],Emiskoef,2,FALSE)</f>
        <v>66.299393644765985</v>
      </c>
      <c r="T174" s="7">
        <f>VLOOKUP(Úsporná_opatření[[#This Row],[Šetřený nositel energie]] &amp; "#" &amp; Úsporná_opatření[[#This Row],[Nejpodobnější sektor]],Emiskoef,3,FALSE)</f>
        <v>4.8176839248101775</v>
      </c>
      <c r="U174" s="7">
        <f>VLOOKUP(Úsporná_opatření[[#This Row],[Šetřený nositel energie]] &amp; "#" &amp; Úsporná_opatření[[#This Row],[Nejpodobnější sektor]],Emiskoef,4,FALSE)</f>
        <v>0.84505259321337012</v>
      </c>
      <c r="V174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74" s="4">
        <f>1000*Úsporná_opatření[[#This Row],[Investice '[Kč/GJ']]]/Úsporná_opatření[[#This Row],[Emisní koeficient CO2 eq '[kg/GJ']]]</f>
        <v>95586.034935452713</v>
      </c>
      <c r="X174" s="7" t="s">
        <v>352</v>
      </c>
    </row>
    <row r="175" spans="2:24" x14ac:dyDescent="0.25">
      <c r="B175" s="3" t="s">
        <v>42</v>
      </c>
      <c r="C175" s="3" t="s">
        <v>69</v>
      </c>
      <c r="D175" s="3" t="s">
        <v>169</v>
      </c>
      <c r="E175" s="3" t="str">
        <f>CONCATENATE(Úsporná_opatření[[#This Row],[Sektor]],Úsporná_opatření[[#This Row],[Opatření]])</f>
        <v>ZemědělstvíZateplení budovy</v>
      </c>
      <c r="F175" s="4">
        <v>8834.3194001226166</v>
      </c>
      <c r="G175" s="11">
        <f>VLOOKUP(Úsporná_opatření[[#This Row],[Opatření podrobně]],Potenciál_opatření!$A$1:$C$191,3,0)</f>
        <v>0.58333333333333326</v>
      </c>
      <c r="H175" s="13">
        <f>Úsporná_opatření[[#This Row],[Potenciál úspor energie v TJ]]*Úsporná_opatření[[#This Row],[Investice '[Kč/GJ']]]*1000</f>
        <v>2177560422.6367068</v>
      </c>
      <c r="I175" s="13">
        <f>Úsporná_opatření[[#This Row],[Podíl dotace '[%']]]*Úsporná_opatření[[#This Row],[Investice]]</f>
        <v>1270243579.871412</v>
      </c>
      <c r="J175" s="3">
        <v>12</v>
      </c>
      <c r="K175" s="12">
        <f>VLOOKUP(Úsporná_opatření[[#This Row],[Opatření podrobně]],Potenciál_opatření!$A$1:$C$191,2,0)</f>
        <v>246.48875867070001</v>
      </c>
      <c r="L175" s="3">
        <v>25</v>
      </c>
      <c r="M175" s="3" t="s">
        <v>44</v>
      </c>
      <c r="N175" s="3" t="s">
        <v>4</v>
      </c>
      <c r="O175" s="4">
        <f>Úsporná_opatření[[#This Row],[Potenciál úspor energie v TJ]]*Úsporná_opatření[[#This Row],[Emisní koeficient CO2 '[kg/GJ']]]</f>
        <v>16342.055240118465</v>
      </c>
      <c r="P175" s="4">
        <f>Úsporná_opatření[[#This Row],[Potenciál úspor energie v TJ]]*Úsporná_opatření[[#This Row],[Emisní koeficient CH4 '[g/GJ']]]</f>
        <v>1187.5049302942466</v>
      </c>
      <c r="Q175" s="4">
        <f>Úsporná_opatření[[#This Row],[Potenciál úspor energie v TJ]]*Úsporná_opatření[[#This Row],[Emisní koeficient N2O '[g/GJ']]]</f>
        <v>208.29596471261962</v>
      </c>
      <c r="R175" s="4">
        <f>Úsporná_opatření[[#This Row],[Potenciál úspor energie v TJ]]*Úsporná_opatření[[#This Row],[Emisní koeficient CO2 eq '[kg/GJ']]]</f>
        <v>16433.815060860179</v>
      </c>
      <c r="S175" s="7">
        <f>VLOOKUP(Úsporná_opatření[[#This Row],[Šetřený nositel energie]] &amp; "#" &amp; Úsporná_opatření[[#This Row],[Nejpodobnější sektor]],Emiskoef,2,FALSE)</f>
        <v>66.299393644765985</v>
      </c>
      <c r="T175" s="7">
        <f>VLOOKUP(Úsporná_opatření[[#This Row],[Šetřený nositel energie]] &amp; "#" &amp; Úsporná_opatření[[#This Row],[Nejpodobnější sektor]],Emiskoef,3,FALSE)</f>
        <v>4.8176839248101775</v>
      </c>
      <c r="U175" s="7">
        <f>VLOOKUP(Úsporná_opatření[[#This Row],[Šetřený nositel energie]] &amp; "#" &amp; Úsporná_opatření[[#This Row],[Nejpodobnější sektor]],Emiskoef,4,FALSE)</f>
        <v>0.84505259321337012</v>
      </c>
      <c r="V175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75" s="4">
        <f>1000*Úsporná_opatření[[#This Row],[Investice '[Kč/GJ']]]/Úsporná_opatření[[#This Row],[Emisní koeficient CO2 eq '[kg/GJ']]]</f>
        <v>132504.86357382245</v>
      </c>
      <c r="X175" s="7" t="s">
        <v>351</v>
      </c>
    </row>
    <row r="176" spans="2:24" x14ac:dyDescent="0.25">
      <c r="B176" s="3" t="s">
        <v>6</v>
      </c>
      <c r="C176" s="3" t="s">
        <v>69</v>
      </c>
      <c r="D176" s="3" t="s">
        <v>170</v>
      </c>
      <c r="E176" s="3" t="str">
        <f>CONCATENATE(Úsporná_opatření[[#This Row],[Sektor]],Úsporná_opatření[[#This Row],[Opatření]])</f>
        <v>SlužbyZateplení budovy</v>
      </c>
      <c r="F176" s="4">
        <v>8834.3194001226166</v>
      </c>
      <c r="G176" s="11">
        <f>VLOOKUP(Úsporná_opatření[[#This Row],[Opatření podrobně]],Potenciál_opatření!$A$1:$C$191,3,0)</f>
        <v>0.58333333333333326</v>
      </c>
      <c r="H176" s="13">
        <f>Úsporná_opatření[[#This Row],[Potenciál úspor energie v TJ]]*Úsporná_opatření[[#This Row],[Investice '[Kč/GJ']]]*1000</f>
        <v>13638468254.817005</v>
      </c>
      <c r="I176" s="13">
        <f>Úsporná_opatření[[#This Row],[Podíl dotace '[%']]]*Úsporná_opatření[[#This Row],[Investice]]</f>
        <v>7955773148.6432524</v>
      </c>
      <c r="J176" s="3">
        <v>12</v>
      </c>
      <c r="K176" s="12">
        <f>VLOOKUP(Úsporná_opatření[[#This Row],[Opatření podrobně]],Potenciál_opatření!$A$1:$C$191,2,0)</f>
        <v>1543.8052029936464</v>
      </c>
      <c r="L176" s="3">
        <v>25</v>
      </c>
      <c r="M176" s="3" t="s">
        <v>44</v>
      </c>
      <c r="N176" s="3" t="s">
        <v>6</v>
      </c>
      <c r="O176" s="4">
        <f>Úsporná_opatření[[#This Row],[Potenciál úspor energie v TJ]]*Úsporná_opatření[[#This Row],[Emisní koeficient CO2 '[kg/GJ']]]</f>
        <v>117840.38260050984</v>
      </c>
      <c r="P176" s="4">
        <f>Úsporná_opatření[[#This Row],[Potenciál úspor energie v TJ]]*Úsporná_opatření[[#This Row],[Emisní koeficient CH4 '[g/GJ']]]</f>
        <v>11549.811237089547</v>
      </c>
      <c r="Q176" s="4">
        <f>Úsporná_opatření[[#This Row],[Potenciál úspor energie v TJ]]*Úsporná_opatření[[#This Row],[Emisní koeficient N2O '[g/GJ']]]</f>
        <v>1162.0342454645972</v>
      </c>
      <c r="R176" s="4">
        <f>Úsporná_opatření[[#This Row],[Potenciál úspor energie v TJ]]*Úsporná_opatření[[#This Row],[Emisní koeficient CO2 eq '[kg/GJ']]]</f>
        <v>118475.41408658552</v>
      </c>
      <c r="S176" s="7">
        <f>VLOOKUP(Úsporná_opatření[[#This Row],[Šetřený nositel energie]] &amp; "#" &amp; Úsporná_opatření[[#This Row],[Nejpodobnější sektor]],Emiskoef,2,FALSE)</f>
        <v>76.331121550828726</v>
      </c>
      <c r="T176" s="7">
        <f>VLOOKUP(Úsporná_opatření[[#This Row],[Šetřený nositel energie]] &amp; "#" &amp; Úsporná_opatření[[#This Row],[Nejpodobnější sektor]],Emiskoef,3,FALSE)</f>
        <v>7.4813915736861789</v>
      </c>
      <c r="U176" s="7">
        <f>VLOOKUP(Úsporná_opatření[[#This Row],[Šetřený nositel energie]] &amp; "#" &amp; Úsporná_opatření[[#This Row],[Nejpodobnější sektor]],Emiskoef,4,FALSE)</f>
        <v>0.75270781780710172</v>
      </c>
      <c r="V176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76" s="4">
        <f>1000*Úsporná_opatření[[#This Row],[Investice '[Kč/GJ']]]/Úsporná_opatření[[#This Row],[Emisní koeficient CO2 eq '[kg/GJ']]]</f>
        <v>115116.44301871432</v>
      </c>
      <c r="X176" s="7" t="s">
        <v>351</v>
      </c>
    </row>
    <row r="177" spans="2:24" x14ac:dyDescent="0.25">
      <c r="B177" s="3" t="s">
        <v>311</v>
      </c>
      <c r="C177" s="3" t="s">
        <v>69</v>
      </c>
      <c r="D177" s="3" t="s">
        <v>171</v>
      </c>
      <c r="E177" s="3" t="str">
        <f>CONCATENATE(Úsporná_opatření[[#This Row],[Sektor]],Úsporná_opatření[[#This Row],[Opatření]])</f>
        <v>veřejná správaZateplení budovy</v>
      </c>
      <c r="F177" s="4">
        <v>8834.3194001226166</v>
      </c>
      <c r="G177" s="11">
        <v>0.2</v>
      </c>
      <c r="H177" s="13">
        <f>Úsporná_opatření[[#This Row],[Potenciál úspor energie v TJ]]*Úsporná_opatření[[#This Row],[Investice '[Kč/GJ']]]*1000</f>
        <v>23267927010.026276</v>
      </c>
      <c r="I177" s="13">
        <f>Úsporná_opatření[[#This Row],[Podíl dotace '[%']]]*Úsporná_opatření[[#This Row],[Investice]]</f>
        <v>4653585402.0052557</v>
      </c>
      <c r="J177" s="3">
        <v>12</v>
      </c>
      <c r="K177" s="12">
        <f>VLOOKUP(Úsporná_opatření[[#This Row],[Opatření podrobně]],Potenciál_opatření!$A$1:$C$191,2,0)</f>
        <v>2633.8109316834671</v>
      </c>
      <c r="L177" s="3">
        <v>25</v>
      </c>
      <c r="M177" s="3" t="s">
        <v>44</v>
      </c>
      <c r="N177" s="3" t="s">
        <v>8</v>
      </c>
      <c r="O177" s="4">
        <f>Úsporná_opatření[[#This Row],[Potenciál úspor energie v TJ]]*Úsporná_opatření[[#This Row],[Emisní koeficient CO2 '[kg/GJ']]]</f>
        <v>201041.74236823217</v>
      </c>
      <c r="P177" s="4">
        <f>Úsporná_opatření[[#This Row],[Potenciál úspor energie v TJ]]*Úsporná_opatření[[#This Row],[Emisní koeficient CH4 '[g/GJ']]]</f>
        <v>19704.570910979233</v>
      </c>
      <c r="Q177" s="4">
        <f>Úsporná_opatření[[#This Row],[Potenciál úspor energie v TJ]]*Úsporná_opatření[[#This Row],[Emisní koeficient N2O '[g/GJ']]]</f>
        <v>1982.4900789039521</v>
      </c>
      <c r="R177" s="4">
        <f>Úsporná_opatření[[#This Row],[Potenciál úspor energie v TJ]]*Úsporná_opatření[[#This Row],[Emisní koeficient CO2 eq '[kg/GJ']]]</f>
        <v>202125.13868452003</v>
      </c>
      <c r="S177" s="7">
        <f>VLOOKUP(Úsporná_opatření[[#This Row],[Šetřený nositel energie]] &amp; "#" &amp; Úsporná_opatření[[#This Row],[Nejpodobnější sektor]],Emiskoef,2,FALSE)</f>
        <v>76.331121550828726</v>
      </c>
      <c r="T177" s="7">
        <f>VLOOKUP(Úsporná_opatření[[#This Row],[Šetřený nositel energie]] &amp; "#" &amp; Úsporná_opatření[[#This Row],[Nejpodobnější sektor]],Emiskoef,3,FALSE)</f>
        <v>7.4813915736861789</v>
      </c>
      <c r="U177" s="7">
        <f>VLOOKUP(Úsporná_opatření[[#This Row],[Šetřený nositel energie]] &amp; "#" &amp; Úsporná_opatření[[#This Row],[Nejpodobnější sektor]],Emiskoef,4,FALSE)</f>
        <v>0.75270781780710172</v>
      </c>
      <c r="V177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77" s="4">
        <f>1000*Úsporná_opatření[[#This Row],[Investice '[Kč/GJ']]]/Úsporná_opatření[[#This Row],[Emisní koeficient CO2 eq '[kg/GJ']]]</f>
        <v>115116.44301871432</v>
      </c>
      <c r="X177" s="7" t="s">
        <v>351</v>
      </c>
    </row>
    <row r="178" spans="2:24" x14ac:dyDescent="0.25">
      <c r="B178" s="3" t="s">
        <v>7</v>
      </c>
      <c r="C178" s="3" t="s">
        <v>69</v>
      </c>
      <c r="D178" s="3" t="s">
        <v>175</v>
      </c>
      <c r="E178" s="3" t="str">
        <f>CONCATENATE(Úsporná_opatření[[#This Row],[Sektor]],Úsporná_opatření[[#This Row],[Opatření]])</f>
        <v>DomácnostiZateplení budovy</v>
      </c>
      <c r="F178" s="4">
        <v>9587.5457322664661</v>
      </c>
      <c r="G178" s="11">
        <f>VLOOKUP(Úsporná_opatření[[#This Row],[Opatření podrobně]],Potenciál_opatření!$A$1:$C$191,3,0)</f>
        <v>0</v>
      </c>
      <c r="H178" s="13">
        <f>Úsporná_opatření[[#This Row],[Potenciál úspor energie v TJ]]*Úsporná_opatření[[#This Row],[Investice '[Kč/GJ']]]*1000</f>
        <v>91584643528.456131</v>
      </c>
      <c r="I178" s="13">
        <f>Úsporná_opatření[[#This Row],[Podíl dotace '[%']]]*Úsporná_opatření[[#This Row],[Investice]]</f>
        <v>0</v>
      </c>
      <c r="J178" s="3">
        <v>12</v>
      </c>
      <c r="K178" s="12">
        <f>VLOOKUP(Úsporná_opatření[[#This Row],[Opatření podrobně]],Potenciál_opatření!$A$1:$C$191,2,0)</f>
        <v>9552.4596268920031</v>
      </c>
      <c r="L178" s="3">
        <v>25</v>
      </c>
      <c r="M178" s="3" t="s">
        <v>44</v>
      </c>
      <c r="N178" s="3" t="s">
        <v>7</v>
      </c>
      <c r="O178" s="4">
        <f>Úsporná_opatření[[#This Row],[Potenciál úspor energie v TJ]]*Úsporná_opatření[[#This Row],[Emisní koeficient CO2 '[kg/GJ']]]</f>
        <v>549331.81985140254</v>
      </c>
      <c r="P178" s="4">
        <f>Úsporná_opatření[[#This Row],[Potenciál úspor energie v TJ]]*Úsporná_opatření[[#This Row],[Emisní koeficient CH4 '[g/GJ']]]</f>
        <v>1132367.2721856292</v>
      </c>
      <c r="Q178" s="4">
        <f>Úsporná_opatření[[#This Row],[Potenciál úspor energie v TJ]]*Úsporná_opatření[[#This Row],[Emisní koeficient N2O '[g/GJ']]]</f>
        <v>15824.023095897788</v>
      </c>
      <c r="R178" s="4">
        <f>Úsporná_opatření[[#This Row],[Potenciál úspor energie v TJ]]*Úsporná_opatření[[#This Row],[Emisní koeficient CO2 eq '[kg/GJ']]]</f>
        <v>582356.5605386208</v>
      </c>
      <c r="S178" s="7">
        <f>VLOOKUP(Úsporná_opatření[[#This Row],[Šetřený nositel energie]] &amp; "#" &amp; Úsporná_opatření[[#This Row],[Nejpodobnější sektor]],Emiskoef,2,FALSE)</f>
        <v>57.506845494005361</v>
      </c>
      <c r="T178" s="7">
        <f>VLOOKUP(Úsporná_opatření[[#This Row],[Šetřený nositel energie]] &amp; "#" &amp; Úsporná_opatření[[#This Row],[Nejpodobnější sektor]],Emiskoef,3,FALSE)</f>
        <v>118.54195844992618</v>
      </c>
      <c r="U178" s="7">
        <f>VLOOKUP(Úsporná_opatření[[#This Row],[Šetřený nositel energie]] &amp; "#" &amp; Úsporná_opatření[[#This Row],[Nejpodobnější sektor]],Emiskoef,4,FALSE)</f>
        <v>1.6565391233217184</v>
      </c>
      <c r="V178" s="7">
        <f>Úsporná_opatření[[#This Row],[Emisní koeficient CO2 '[kg/GJ']]]+0.025*Úsporná_opatření[[#This Row],[Emisní koeficient CH4 '[g/GJ']]]+0.298*Úsporná_opatření[[#This Row],[Emisní koeficient N2O '[g/GJ']]]</f>
        <v>60.964043114003388</v>
      </c>
      <c r="W178" s="4">
        <f>1000*Úsporná_opatření[[#This Row],[Investice '[Kč/GJ']]]/Úsporná_opatření[[#This Row],[Emisní koeficient CO2 eq '[kg/GJ']]]</f>
        <v>157265.58217829576</v>
      </c>
      <c r="X178" s="7" t="s">
        <v>351</v>
      </c>
    </row>
    <row r="179" spans="2:24" x14ac:dyDescent="0.25">
      <c r="B179" s="3" t="s">
        <v>4</v>
      </c>
      <c r="C179" s="3" t="s">
        <v>69</v>
      </c>
      <c r="D179" s="3" t="s">
        <v>179</v>
      </c>
      <c r="E179" s="3" t="str">
        <f>CONCATENATE(Úsporná_opatření[[#This Row],[Sektor]],Úsporná_opatření[[#This Row],[Opatření]])</f>
        <v>PrůmyslZateplení budovy</v>
      </c>
      <c r="F179" s="4">
        <v>9966.1484287802814</v>
      </c>
      <c r="G179" s="11">
        <f>VLOOKUP(Úsporná_opatření[[#This Row],[Opatření podrobně]],Potenciál_opatření!$A$1:$C$191,3,0)</f>
        <v>0.875</v>
      </c>
      <c r="H179" s="13">
        <f>Úsporná_opatření[[#This Row],[Potenciál úspor energie v TJ]]*Úsporná_opatření[[#This Row],[Investice '[Kč/GJ']]]*1000</f>
        <v>21595641375.601139</v>
      </c>
      <c r="I179" s="13">
        <f>Úsporná_opatření[[#This Row],[Podíl dotace '[%']]]*Úsporná_opatření[[#This Row],[Investice]]</f>
        <v>18896186203.650997</v>
      </c>
      <c r="J179" s="3">
        <v>40</v>
      </c>
      <c r="K179" s="12">
        <f>VLOOKUP(Úsporná_opatření[[#This Row],[Opatření podrobně]],Potenciál_opatření!$A$1:$C$191,2,0)</f>
        <v>2166.8994326070001</v>
      </c>
      <c r="L179" s="3">
        <v>25</v>
      </c>
      <c r="M179" s="3" t="s">
        <v>44</v>
      </c>
      <c r="N179" s="3" t="s">
        <v>4</v>
      </c>
      <c r="O179" s="4">
        <f>Úsporná_opatření[[#This Row],[Potenciál úspor energie v TJ]]*Úsporná_opatření[[#This Row],[Emisní koeficient CO2 '[kg/GJ']]]</f>
        <v>143664.11847103157</v>
      </c>
      <c r="P179" s="4">
        <f>Úsporná_opatření[[#This Row],[Potenciál úspor energie v TJ]]*Úsporná_opatření[[#This Row],[Emisní koeficient CH4 '[g/GJ']]]</f>
        <v>10439.436563151039</v>
      </c>
      <c r="Q179" s="4">
        <f>Úsporná_opatření[[#This Row],[Potenciál úspor energie v TJ]]*Úsporná_opatření[[#This Row],[Emisní koeficient N2O '[g/GJ']]]</f>
        <v>1831.1439847571257</v>
      </c>
      <c r="R179" s="4">
        <f>Úsporná_opatření[[#This Row],[Potenciál úspor energie v TJ]]*Úsporná_opatření[[#This Row],[Emisní koeficient CO2 eq '[kg/GJ']]]</f>
        <v>144470.78529256795</v>
      </c>
      <c r="S179" s="7">
        <f>VLOOKUP(Úsporná_opatření[[#This Row],[Šetřený nositel energie]] &amp; "#" &amp; Úsporná_opatření[[#This Row],[Nejpodobnější sektor]],Emiskoef,2,FALSE)</f>
        <v>66.299393644765985</v>
      </c>
      <c r="T179" s="7">
        <f>VLOOKUP(Úsporná_opatření[[#This Row],[Šetřený nositel energie]] &amp; "#" &amp; Úsporná_opatření[[#This Row],[Nejpodobnější sektor]],Emiskoef,3,FALSE)</f>
        <v>4.8176839248101775</v>
      </c>
      <c r="U179" s="7">
        <f>VLOOKUP(Úsporná_opatření[[#This Row],[Šetřený nositel energie]] &amp; "#" &amp; Úsporná_opatření[[#This Row],[Nejpodobnější sektor]],Emiskoef,4,FALSE)</f>
        <v>0.84505259321337012</v>
      </c>
      <c r="V179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79" s="4">
        <f>1000*Úsporná_opatření[[#This Row],[Investice '[Kč/GJ']]]/Úsporná_opatření[[#This Row],[Emisní koeficient CO2 eq '[kg/GJ']]]</f>
        <v>149481.02712854906</v>
      </c>
      <c r="X179" s="7" t="s">
        <v>353</v>
      </c>
    </row>
    <row r="180" spans="2:24" x14ac:dyDescent="0.25">
      <c r="B180" s="3" t="s">
        <v>42</v>
      </c>
      <c r="C180" s="3" t="s">
        <v>69</v>
      </c>
      <c r="D180" s="3" t="s">
        <v>183</v>
      </c>
      <c r="E180" s="3" t="str">
        <f>CONCATENATE(Úsporná_opatření[[#This Row],[Sektor]],Úsporná_opatření[[#This Row],[Opatření]])</f>
        <v>ZemědělstvíZateplení budovy</v>
      </c>
      <c r="F180" s="4">
        <v>10566.212147412216</v>
      </c>
      <c r="G180" s="11">
        <f>VLOOKUP(Úsporná_opatření[[#This Row],[Opatření podrobně]],Potenciál_opatření!$A$1:$C$191,3,0)</f>
        <v>0.75</v>
      </c>
      <c r="H180" s="13">
        <f>Úsporná_opatření[[#This Row],[Potenciál úspor energie v TJ]]*Úsporná_opatření[[#This Row],[Investice '[Kč/GJ']]]*1000</f>
        <v>5208905032.1338167</v>
      </c>
      <c r="I180" s="13">
        <f>Úsporná_opatření[[#This Row],[Podíl dotace '[%']]]*Úsporná_opatření[[#This Row],[Investice]]</f>
        <v>3906678774.1003628</v>
      </c>
      <c r="J180" s="3">
        <v>20</v>
      </c>
      <c r="K180" s="12">
        <f>VLOOKUP(Úsporná_opatření[[#This Row],[Opatření podrobně]],Potenciál_opatření!$A$1:$C$191,2,0)</f>
        <v>492.97751734140002</v>
      </c>
      <c r="L180" s="3">
        <v>25</v>
      </c>
      <c r="M180" s="3" t="s">
        <v>44</v>
      </c>
      <c r="N180" s="3" t="s">
        <v>4</v>
      </c>
      <c r="O180" s="4">
        <f>Úsporná_opatření[[#This Row],[Potenciál úspor energie v TJ]]*Úsporná_opatření[[#This Row],[Emisní koeficient CO2 '[kg/GJ']]]</f>
        <v>32684.11048023693</v>
      </c>
      <c r="P180" s="4">
        <f>Úsporná_opatření[[#This Row],[Potenciál úspor energie v TJ]]*Úsporná_opatření[[#This Row],[Emisní koeficient CH4 '[g/GJ']]]</f>
        <v>2375.0098605884932</v>
      </c>
      <c r="Q180" s="4">
        <f>Úsporná_opatření[[#This Row],[Potenciál úspor energie v TJ]]*Úsporná_opatření[[#This Row],[Emisní koeficient N2O '[g/GJ']]]</f>
        <v>416.59192942523924</v>
      </c>
      <c r="R180" s="4">
        <f>Úsporná_opatření[[#This Row],[Potenciál úspor energie v TJ]]*Úsporná_opatření[[#This Row],[Emisní koeficient CO2 eq '[kg/GJ']]]</f>
        <v>32867.630121720358</v>
      </c>
      <c r="S180" s="7">
        <f>VLOOKUP(Úsporná_opatření[[#This Row],[Šetřený nositel energie]] &amp; "#" &amp; Úsporná_opatření[[#This Row],[Nejpodobnější sektor]],Emiskoef,2,FALSE)</f>
        <v>66.299393644765985</v>
      </c>
      <c r="T180" s="7">
        <f>VLOOKUP(Úsporná_opatření[[#This Row],[Šetřený nositel energie]] &amp; "#" &amp; Úsporná_opatření[[#This Row],[Nejpodobnější sektor]],Emiskoef,3,FALSE)</f>
        <v>4.8176839248101775</v>
      </c>
      <c r="U180" s="7">
        <f>VLOOKUP(Úsporná_opatření[[#This Row],[Šetřený nositel energie]] &amp; "#" &amp; Úsporná_opatření[[#This Row],[Nejpodobnější sektor]],Emiskoef,4,FALSE)</f>
        <v>0.84505259321337012</v>
      </c>
      <c r="V180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80" s="4">
        <f>1000*Úsporná_opatření[[#This Row],[Investice '[Kč/GJ']]]/Úsporná_opatření[[#This Row],[Emisní koeficient CO2 eq '[kg/GJ']]]</f>
        <v>158481.3085958256</v>
      </c>
      <c r="X180" s="7" t="s">
        <v>352</v>
      </c>
    </row>
    <row r="181" spans="2:24" x14ac:dyDescent="0.25">
      <c r="B181" s="3" t="s">
        <v>6</v>
      </c>
      <c r="C181" s="3" t="s">
        <v>69</v>
      </c>
      <c r="D181" s="3" t="s">
        <v>184</v>
      </c>
      <c r="E181" s="3" t="str">
        <f>CONCATENATE(Úsporná_opatření[[#This Row],[Sektor]],Úsporná_opatření[[#This Row],[Opatření]])</f>
        <v>SlužbyZateplení budovy</v>
      </c>
      <c r="F181" s="4">
        <v>10566.212147412216</v>
      </c>
      <c r="G181" s="11">
        <f>VLOOKUP(Úsporná_opatření[[#This Row],[Opatření podrobně]],Potenciál_opatření!$A$1:$C$191,3,0)</f>
        <v>0.75</v>
      </c>
      <c r="H181" s="13">
        <f>Úsporná_opatření[[#This Row],[Potenciál úspor energie v TJ]]*Úsporná_opatření[[#This Row],[Investice '[Kč/GJ']]]*1000</f>
        <v>32624346578.219299</v>
      </c>
      <c r="I181" s="13">
        <f>Úsporná_opatření[[#This Row],[Podíl dotace '[%']]]*Úsporná_opatření[[#This Row],[Investice]]</f>
        <v>24468259933.664474</v>
      </c>
      <c r="J181" s="3">
        <v>20</v>
      </c>
      <c r="K181" s="12">
        <f>VLOOKUP(Úsporná_opatření[[#This Row],[Opatření podrobně]],Potenciál_opatření!$A$1:$C$191,2,0)</f>
        <v>3087.6104059872928</v>
      </c>
      <c r="L181" s="3">
        <v>25</v>
      </c>
      <c r="M181" s="3" t="s">
        <v>44</v>
      </c>
      <c r="N181" s="3" t="s">
        <v>6</v>
      </c>
      <c r="O181" s="4">
        <f>Úsporná_opatření[[#This Row],[Potenciál úspor energie v TJ]]*Úsporná_opatření[[#This Row],[Emisní koeficient CO2 '[kg/GJ']]]</f>
        <v>235680.76520101968</v>
      </c>
      <c r="P181" s="4">
        <f>Úsporná_opatření[[#This Row],[Potenciál úspor energie v TJ]]*Úsporná_opatření[[#This Row],[Emisní koeficient CH4 '[g/GJ']]]</f>
        <v>23099.622474179094</v>
      </c>
      <c r="Q181" s="4">
        <f>Úsporná_opatření[[#This Row],[Potenciál úspor energie v TJ]]*Úsporná_opatření[[#This Row],[Emisní koeficient N2O '[g/GJ']]]</f>
        <v>2324.0684909291945</v>
      </c>
      <c r="R181" s="4">
        <f>Úsporná_opatření[[#This Row],[Potenciál úspor energie v TJ]]*Úsporná_opatření[[#This Row],[Emisní koeficient CO2 eq '[kg/GJ']]]</f>
        <v>236950.82817317103</v>
      </c>
      <c r="S181" s="7">
        <f>VLOOKUP(Úsporná_opatření[[#This Row],[Šetřený nositel energie]] &amp; "#" &amp; Úsporná_opatření[[#This Row],[Nejpodobnější sektor]],Emiskoef,2,FALSE)</f>
        <v>76.331121550828726</v>
      </c>
      <c r="T181" s="7">
        <f>VLOOKUP(Úsporná_opatření[[#This Row],[Šetřený nositel energie]] &amp; "#" &amp; Úsporná_opatření[[#This Row],[Nejpodobnější sektor]],Emiskoef,3,FALSE)</f>
        <v>7.4813915736861789</v>
      </c>
      <c r="U181" s="7">
        <f>VLOOKUP(Úsporná_opatření[[#This Row],[Šetřený nositel energie]] &amp; "#" &amp; Úsporná_opatření[[#This Row],[Nejpodobnější sektor]],Emiskoef,4,FALSE)</f>
        <v>0.75270781780710172</v>
      </c>
      <c r="V181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81" s="4">
        <f>1000*Úsporná_opatření[[#This Row],[Investice '[Kč/GJ']]]/Úsporná_opatření[[#This Row],[Emisní koeficient CO2 eq '[kg/GJ']]]</f>
        <v>137684.0369360364</v>
      </c>
      <c r="X181" s="7" t="s">
        <v>352</v>
      </c>
    </row>
    <row r="182" spans="2:24" x14ac:dyDescent="0.25">
      <c r="B182" s="3" t="s">
        <v>311</v>
      </c>
      <c r="C182" s="3" t="s">
        <v>69</v>
      </c>
      <c r="D182" s="3" t="s">
        <v>185</v>
      </c>
      <c r="E182" s="3" t="str">
        <f>CONCATENATE(Úsporná_opatření[[#This Row],[Sektor]],Úsporná_opatření[[#This Row],[Opatření]])</f>
        <v>veřejná správaZateplení budovy</v>
      </c>
      <c r="F182" s="4">
        <v>10566.212147412216</v>
      </c>
      <c r="G182" s="11">
        <f>VLOOKUP(Úsporná_opatření[[#This Row],[Opatření podrobně]],Potenciál_opatření!$A$1:$C$191,3,0)</f>
        <v>0.4</v>
      </c>
      <c r="H182" s="13">
        <f>Úsporná_opatření[[#This Row],[Potenciál úspor energie v TJ]]*Úsporná_opatření[[#This Row],[Investice '[Kč/GJ']]]*1000</f>
        <v>55658810120.681877</v>
      </c>
      <c r="I182" s="13">
        <f>Úsporná_opatření[[#This Row],[Podíl dotace '[%']]]*Úsporná_opatření[[#This Row],[Investice]]</f>
        <v>22263524048.272751</v>
      </c>
      <c r="J182" s="3">
        <v>20</v>
      </c>
      <c r="K182" s="12">
        <f>VLOOKUP(Úsporná_opatření[[#This Row],[Opatření podrobně]],Potenciál_opatření!$A$1:$C$191,2,0)</f>
        <v>5267.6218633669341</v>
      </c>
      <c r="L182" s="3">
        <v>25</v>
      </c>
      <c r="M182" s="3" t="s">
        <v>44</v>
      </c>
      <c r="N182" s="3" t="s">
        <v>8</v>
      </c>
      <c r="O182" s="4">
        <f>Úsporná_opatření[[#This Row],[Potenciál úspor energie v TJ]]*Úsporná_opatření[[#This Row],[Emisní koeficient CO2 '[kg/GJ']]]</f>
        <v>402083.48473646434</v>
      </c>
      <c r="P182" s="4">
        <f>Úsporná_opatření[[#This Row],[Potenciál úspor energie v TJ]]*Úsporná_opatření[[#This Row],[Emisní koeficient CH4 '[g/GJ']]]</f>
        <v>39409.141821958467</v>
      </c>
      <c r="Q182" s="4">
        <f>Úsporná_opatření[[#This Row],[Potenciál úspor energie v TJ]]*Úsporná_opatření[[#This Row],[Emisní koeficient N2O '[g/GJ']]]</f>
        <v>3964.9801578079041</v>
      </c>
      <c r="R182" s="4">
        <f>Úsporná_opatření[[#This Row],[Potenciál úspor energie v TJ]]*Úsporná_opatření[[#This Row],[Emisní koeficient CO2 eq '[kg/GJ']]]</f>
        <v>404250.27736904006</v>
      </c>
      <c r="S182" s="7">
        <f>VLOOKUP(Úsporná_opatření[[#This Row],[Šetřený nositel energie]] &amp; "#" &amp; Úsporná_opatření[[#This Row],[Nejpodobnější sektor]],Emiskoef,2,FALSE)</f>
        <v>76.331121550828726</v>
      </c>
      <c r="T182" s="7">
        <f>VLOOKUP(Úsporná_opatření[[#This Row],[Šetřený nositel energie]] &amp; "#" &amp; Úsporná_opatření[[#This Row],[Nejpodobnější sektor]],Emiskoef,3,FALSE)</f>
        <v>7.4813915736861789</v>
      </c>
      <c r="U182" s="7">
        <f>VLOOKUP(Úsporná_opatření[[#This Row],[Šetřený nositel energie]] &amp; "#" &amp; Úsporná_opatření[[#This Row],[Nejpodobnější sektor]],Emiskoef,4,FALSE)</f>
        <v>0.75270781780710172</v>
      </c>
      <c r="V182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82" s="4">
        <f>1000*Úsporná_opatření[[#This Row],[Investice '[Kč/GJ']]]/Úsporná_opatření[[#This Row],[Emisní koeficient CO2 eq '[kg/GJ']]]</f>
        <v>137684.0369360364</v>
      </c>
      <c r="X182" s="7" t="s">
        <v>352</v>
      </c>
    </row>
    <row r="183" spans="2:24" x14ac:dyDescent="0.25">
      <c r="B183" s="3" t="s">
        <v>7</v>
      </c>
      <c r="C183" s="3" t="s">
        <v>69</v>
      </c>
      <c r="D183" s="3" t="s">
        <v>187</v>
      </c>
      <c r="E183" s="3" t="str">
        <f>CONCATENATE(Úsporná_opatření[[#This Row],[Sektor]],Úsporná_opatření[[#This Row],[Opatření]])</f>
        <v>DomácnostiZateplení budovy</v>
      </c>
      <c r="F183" s="4">
        <v>11708.603377716296</v>
      </c>
      <c r="G183" s="11">
        <f>VLOOKUP(Úsporná_opatření[[#This Row],[Opatření podrobně]],Potenciál_opatření!$A$1:$C$191,3,0)</f>
        <v>0.4</v>
      </c>
      <c r="H183" s="13">
        <f>Úsporná_opatření[[#This Row],[Potenciál úspor energie v TJ]]*Úsporná_opatření[[#This Row],[Investice '[Kč/GJ']]]*1000</f>
        <v>223691922105.85251</v>
      </c>
      <c r="I183" s="13">
        <f>Úsporná_opatření[[#This Row],[Podíl dotace '[%']]]*Úsporná_opatření[[#This Row],[Investice]]</f>
        <v>89476768842.341003</v>
      </c>
      <c r="J183" s="3">
        <v>20</v>
      </c>
      <c r="K183" s="12">
        <f>VLOOKUP(Úsporná_opatření[[#This Row],[Opatření podrobně]],Potenciál_opatření!$A$1:$C$191,2,0)</f>
        <v>19104.919253784006</v>
      </c>
      <c r="L183" s="3">
        <v>25</v>
      </c>
      <c r="M183" s="3" t="s">
        <v>44</v>
      </c>
      <c r="N183" s="3" t="s">
        <v>7</v>
      </c>
      <c r="O183" s="4">
        <f>Úsporná_opatření[[#This Row],[Potenciál úspor energie v TJ]]*Úsporná_opatření[[#This Row],[Emisní koeficient CO2 '[kg/GJ']]]</f>
        <v>1098663.6397028051</v>
      </c>
      <c r="P183" s="4">
        <f>Úsporná_opatření[[#This Row],[Potenciál úspor energie v TJ]]*Úsporná_opatření[[#This Row],[Emisní koeficient CH4 '[g/GJ']]]</f>
        <v>2264734.5443712585</v>
      </c>
      <c r="Q183" s="4">
        <f>Úsporná_opatření[[#This Row],[Potenciál úspor energie v TJ]]*Úsporná_opatření[[#This Row],[Emisní koeficient N2O '[g/GJ']]]</f>
        <v>31648.046191795576</v>
      </c>
      <c r="R183" s="4">
        <f>Úsporná_opatření[[#This Row],[Potenciál úspor energie v TJ]]*Úsporná_opatření[[#This Row],[Emisní koeficient CO2 eq '[kg/GJ']]]</f>
        <v>1164713.1210772416</v>
      </c>
      <c r="S183" s="7">
        <f>VLOOKUP(Úsporná_opatření[[#This Row],[Šetřený nositel energie]] &amp; "#" &amp; Úsporná_opatření[[#This Row],[Nejpodobnější sektor]],Emiskoef,2,FALSE)</f>
        <v>57.506845494005361</v>
      </c>
      <c r="T183" s="7">
        <f>VLOOKUP(Úsporná_opatření[[#This Row],[Šetřený nositel energie]] &amp; "#" &amp; Úsporná_opatření[[#This Row],[Nejpodobnější sektor]],Emiskoef,3,FALSE)</f>
        <v>118.54195844992618</v>
      </c>
      <c r="U183" s="7">
        <f>VLOOKUP(Úsporná_opatření[[#This Row],[Šetřený nositel energie]] &amp; "#" &amp; Úsporná_opatření[[#This Row],[Nejpodobnější sektor]],Emiskoef,4,FALSE)</f>
        <v>1.6565391233217184</v>
      </c>
      <c r="V183" s="7">
        <f>Úsporná_opatření[[#This Row],[Emisní koeficient CO2 '[kg/GJ']]]+0.025*Úsporná_opatření[[#This Row],[Emisní koeficient CH4 '[g/GJ']]]+0.298*Úsporná_opatření[[#This Row],[Emisní koeficient N2O '[g/GJ']]]</f>
        <v>60.964043114003388</v>
      </c>
      <c r="W183" s="4">
        <f>1000*Úsporná_opatření[[#This Row],[Investice '[Kč/GJ']]]/Úsporná_opatření[[#This Row],[Emisní koeficient CO2 eq '[kg/GJ']]]</f>
        <v>192057.52734970491</v>
      </c>
      <c r="X183" s="7" t="s">
        <v>352</v>
      </c>
    </row>
    <row r="184" spans="2:24" x14ac:dyDescent="0.25">
      <c r="B184" s="3" t="s">
        <v>42</v>
      </c>
      <c r="C184" s="3" t="s">
        <v>69</v>
      </c>
      <c r="D184" s="3" t="s">
        <v>203</v>
      </c>
      <c r="E184" s="3" t="str">
        <f>CONCATENATE(Úsporná_opatření[[#This Row],[Sektor]],Úsporná_opatření[[#This Row],[Opatření]])</f>
        <v>ZemědělstvíZateplení budovy</v>
      </c>
      <c r="F184" s="4">
        <v>14509.912544081661</v>
      </c>
      <c r="G184" s="11">
        <f>VLOOKUP(Úsporná_opatření[[#This Row],[Opatření podrobně]],Potenciál_opatření!$A$1:$C$191,3,0)</f>
        <v>0.875</v>
      </c>
      <c r="H184" s="13">
        <f>Úsporná_opatření[[#This Row],[Potenciál úspor energie v TJ]]*Úsporná_opatření[[#This Row],[Investice '[Kč/GJ']]]*1000</f>
        <v>3576530331.4111075</v>
      </c>
      <c r="I184" s="13">
        <f>Úsporná_opatření[[#This Row],[Podíl dotace '[%']]]*Úsporná_opatření[[#This Row],[Investice]]</f>
        <v>3129464039.9847193</v>
      </c>
      <c r="J184" s="3">
        <v>40</v>
      </c>
      <c r="K184" s="12">
        <f>VLOOKUP(Úsporná_opatření[[#This Row],[Opatření podrobně]],Potenciál_opatření!$A$1:$C$191,2,0)</f>
        <v>246.48875867070001</v>
      </c>
      <c r="L184" s="3">
        <v>25</v>
      </c>
      <c r="M184" s="3" t="s">
        <v>44</v>
      </c>
      <c r="N184" s="3" t="s">
        <v>4</v>
      </c>
      <c r="O184" s="4">
        <f>Úsporná_opatření[[#This Row],[Potenciál úspor energie v TJ]]*Úsporná_opatření[[#This Row],[Emisní koeficient CO2 '[kg/GJ']]]</f>
        <v>16342.055240118465</v>
      </c>
      <c r="P184" s="4">
        <f>Úsporná_opatření[[#This Row],[Potenciál úspor energie v TJ]]*Úsporná_opatření[[#This Row],[Emisní koeficient CH4 '[g/GJ']]]</f>
        <v>1187.5049302942466</v>
      </c>
      <c r="Q184" s="4">
        <f>Úsporná_opatření[[#This Row],[Potenciál úspor energie v TJ]]*Úsporná_opatření[[#This Row],[Emisní koeficient N2O '[g/GJ']]]</f>
        <v>208.29596471261962</v>
      </c>
      <c r="R184" s="4">
        <f>Úsporná_opatření[[#This Row],[Potenciál úspor energie v TJ]]*Úsporná_opatření[[#This Row],[Emisní koeficient CO2 eq '[kg/GJ']]]</f>
        <v>16433.815060860179</v>
      </c>
      <c r="S184" s="7">
        <f>VLOOKUP(Úsporná_opatření[[#This Row],[Šetřený nositel energie]] &amp; "#" &amp; Úsporná_opatření[[#This Row],[Nejpodobnější sektor]],Emiskoef,2,FALSE)</f>
        <v>66.299393644765985</v>
      </c>
      <c r="T184" s="7">
        <f>VLOOKUP(Úsporná_opatření[[#This Row],[Šetřený nositel energie]] &amp; "#" &amp; Úsporná_opatření[[#This Row],[Nejpodobnější sektor]],Emiskoef,3,FALSE)</f>
        <v>4.8176839248101775</v>
      </c>
      <c r="U184" s="7">
        <f>VLOOKUP(Úsporná_opatření[[#This Row],[Šetřený nositel energie]] &amp; "#" &amp; Úsporná_opatření[[#This Row],[Nejpodobnější sektor]],Emiskoef,4,FALSE)</f>
        <v>0.84505259321337012</v>
      </c>
      <c r="V184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84" s="4">
        <f>1000*Úsporná_opatření[[#This Row],[Investice '[Kč/GJ']]]/Úsporná_opatření[[#This Row],[Emisní koeficient CO2 eq '[kg/GJ']]]</f>
        <v>217632.38287433324</v>
      </c>
      <c r="X184" s="7" t="s">
        <v>353</v>
      </c>
    </row>
    <row r="185" spans="2:24" x14ac:dyDescent="0.25">
      <c r="B185" s="3" t="s">
        <v>6</v>
      </c>
      <c r="C185" s="3" t="s">
        <v>69</v>
      </c>
      <c r="D185" s="3" t="s">
        <v>204</v>
      </c>
      <c r="E185" s="3" t="str">
        <f>CONCATENATE(Úsporná_opatření[[#This Row],[Sektor]],Úsporná_opatření[[#This Row],[Opatření]])</f>
        <v>SlužbyZateplení budovy</v>
      </c>
      <c r="F185" s="4">
        <v>14509.912544081661</v>
      </c>
      <c r="G185" s="11">
        <f>VLOOKUP(Úsporná_opatření[[#This Row],[Opatření podrobně]],Potenciál_opatření!$A$1:$C$191,3,0)</f>
        <v>0.875</v>
      </c>
      <c r="H185" s="13">
        <f>Úsporná_opatření[[#This Row],[Potenciál úspor energie v TJ]]*Úsporná_opatření[[#This Row],[Investice '[Kč/GJ']]]*1000</f>
        <v>22400478480.536045</v>
      </c>
      <c r="I185" s="13">
        <f>Úsporná_opatření[[#This Row],[Podíl dotace '[%']]]*Úsporná_opatření[[#This Row],[Investice]]</f>
        <v>19600418670.46904</v>
      </c>
      <c r="J185" s="3">
        <v>40</v>
      </c>
      <c r="K185" s="12">
        <f>VLOOKUP(Úsporná_opatření[[#This Row],[Opatření podrobně]],Potenciál_opatření!$A$1:$C$191,2,0)</f>
        <v>1543.8052029936464</v>
      </c>
      <c r="L185" s="3">
        <v>25</v>
      </c>
      <c r="M185" s="3" t="s">
        <v>44</v>
      </c>
      <c r="N185" s="3" t="s">
        <v>6</v>
      </c>
      <c r="O185" s="4">
        <f>Úsporná_opatření[[#This Row],[Potenciál úspor energie v TJ]]*Úsporná_opatření[[#This Row],[Emisní koeficient CO2 '[kg/GJ']]]</f>
        <v>117840.38260050984</v>
      </c>
      <c r="P185" s="4">
        <f>Úsporná_opatření[[#This Row],[Potenciál úspor energie v TJ]]*Úsporná_opatření[[#This Row],[Emisní koeficient CH4 '[g/GJ']]]</f>
        <v>11549.811237089547</v>
      </c>
      <c r="Q185" s="4">
        <f>Úsporná_opatření[[#This Row],[Potenciál úspor energie v TJ]]*Úsporná_opatření[[#This Row],[Emisní koeficient N2O '[g/GJ']]]</f>
        <v>1162.0342454645972</v>
      </c>
      <c r="R185" s="4">
        <f>Úsporná_opatření[[#This Row],[Potenciál úspor energie v TJ]]*Úsporná_opatření[[#This Row],[Emisní koeficient CO2 eq '[kg/GJ']]]</f>
        <v>118475.41408658552</v>
      </c>
      <c r="S185" s="7">
        <f>VLOOKUP(Úsporná_opatření[[#This Row],[Šetřený nositel energie]] &amp; "#" &amp; Úsporná_opatření[[#This Row],[Nejpodobnější sektor]],Emiskoef,2,FALSE)</f>
        <v>76.331121550828726</v>
      </c>
      <c r="T185" s="7">
        <f>VLOOKUP(Úsporná_opatření[[#This Row],[Šetřený nositel energie]] &amp; "#" &amp; Úsporná_opatření[[#This Row],[Nejpodobnější sektor]],Emiskoef,3,FALSE)</f>
        <v>7.4813915736861789</v>
      </c>
      <c r="U185" s="7">
        <f>VLOOKUP(Úsporná_opatření[[#This Row],[Šetřený nositel energie]] &amp; "#" &amp; Úsporná_opatření[[#This Row],[Nejpodobnější sektor]],Emiskoef,4,FALSE)</f>
        <v>0.75270781780710172</v>
      </c>
      <c r="V185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85" s="4">
        <f>1000*Úsporná_opatření[[#This Row],[Investice '[Kč/GJ']]]/Úsporná_opatření[[#This Row],[Emisní koeficient CO2 eq '[kg/GJ']]]</f>
        <v>189072.80175585693</v>
      </c>
      <c r="X185" s="7" t="s">
        <v>353</v>
      </c>
    </row>
    <row r="186" spans="2:24" x14ac:dyDescent="0.25">
      <c r="B186" s="3" t="s">
        <v>311</v>
      </c>
      <c r="C186" s="3" t="s">
        <v>69</v>
      </c>
      <c r="D186" s="3" t="s">
        <v>205</v>
      </c>
      <c r="E186" s="3" t="str">
        <f>CONCATENATE(Úsporná_opatření[[#This Row],[Sektor]],Úsporná_opatření[[#This Row],[Opatření]])</f>
        <v>veřejná správaZateplení budovy</v>
      </c>
      <c r="F186" s="4">
        <v>14509.912544081661</v>
      </c>
      <c r="G186" s="11">
        <f>VLOOKUP(Úsporná_opatření[[#This Row],[Opatření podrobně]],Potenciál_opatření!$A$1:$C$191,3,0)</f>
        <v>0.7</v>
      </c>
      <c r="H186" s="13">
        <f>Úsporná_opatření[[#This Row],[Potenciál úspor energie v TJ]]*Úsporná_opatření[[#This Row],[Investice '[Kč/GJ']]]*1000</f>
        <v>38216366276.373344</v>
      </c>
      <c r="I186" s="13">
        <f>Úsporná_opatření[[#This Row],[Podíl dotace '[%']]]*Úsporná_opatření[[#This Row],[Investice]]</f>
        <v>26751456393.461338</v>
      </c>
      <c r="J186" s="3">
        <v>40</v>
      </c>
      <c r="K186" s="12">
        <f>VLOOKUP(Úsporná_opatření[[#This Row],[Opatření podrobně]],Potenciál_opatření!$A$1:$C$191,2,0)</f>
        <v>2633.8109316834671</v>
      </c>
      <c r="L186" s="3">
        <v>25</v>
      </c>
      <c r="M186" s="3" t="s">
        <v>44</v>
      </c>
      <c r="N186" s="3" t="s">
        <v>8</v>
      </c>
      <c r="O186" s="4">
        <f>Úsporná_opatření[[#This Row],[Potenciál úspor energie v TJ]]*Úsporná_opatření[[#This Row],[Emisní koeficient CO2 '[kg/GJ']]]</f>
        <v>201041.74236823217</v>
      </c>
      <c r="P186" s="4">
        <f>Úsporná_opatření[[#This Row],[Potenciál úspor energie v TJ]]*Úsporná_opatření[[#This Row],[Emisní koeficient CH4 '[g/GJ']]]</f>
        <v>19704.570910979233</v>
      </c>
      <c r="Q186" s="4">
        <f>Úsporná_opatření[[#This Row],[Potenciál úspor energie v TJ]]*Úsporná_opatření[[#This Row],[Emisní koeficient N2O '[g/GJ']]]</f>
        <v>1982.4900789039521</v>
      </c>
      <c r="R186" s="4">
        <f>Úsporná_opatření[[#This Row],[Potenciál úspor energie v TJ]]*Úsporná_opatření[[#This Row],[Emisní koeficient CO2 eq '[kg/GJ']]]</f>
        <v>202125.13868452003</v>
      </c>
      <c r="S186" s="7">
        <f>VLOOKUP(Úsporná_opatření[[#This Row],[Šetřený nositel energie]] &amp; "#" &amp; Úsporná_opatření[[#This Row],[Nejpodobnější sektor]],Emiskoef,2,FALSE)</f>
        <v>76.331121550828726</v>
      </c>
      <c r="T186" s="7">
        <f>VLOOKUP(Úsporná_opatření[[#This Row],[Šetřený nositel energie]] &amp; "#" &amp; Úsporná_opatření[[#This Row],[Nejpodobnější sektor]],Emiskoef,3,FALSE)</f>
        <v>7.4813915736861789</v>
      </c>
      <c r="U186" s="7">
        <f>VLOOKUP(Úsporná_opatření[[#This Row],[Šetřený nositel energie]] &amp; "#" &amp; Úsporná_opatření[[#This Row],[Nejpodobnější sektor]],Emiskoef,4,FALSE)</f>
        <v>0.75270781780710172</v>
      </c>
      <c r="V186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86" s="4">
        <f>1000*Úsporná_opatření[[#This Row],[Investice '[Kč/GJ']]]/Úsporná_opatření[[#This Row],[Emisní koeficient CO2 eq '[kg/GJ']]]</f>
        <v>189072.80175585693</v>
      </c>
      <c r="X186" s="7" t="s">
        <v>353</v>
      </c>
    </row>
    <row r="187" spans="2:24" x14ac:dyDescent="0.25">
      <c r="B187" s="3" t="s">
        <v>7</v>
      </c>
      <c r="C187" s="3" t="s">
        <v>69</v>
      </c>
      <c r="D187" s="3" t="s">
        <v>221</v>
      </c>
      <c r="E187" s="3" t="str">
        <f>CONCATENATE(Úsporná_opatření[[#This Row],[Sektor]],Úsporná_opatření[[#This Row],[Opatření]])</f>
        <v>DomácnostiZateplení budovy</v>
      </c>
      <c r="F187" s="4">
        <v>17830.676119661075</v>
      </c>
      <c r="G187" s="11">
        <f>VLOOKUP(Úsporná_opatření[[#This Row],[Opatření podrobně]],Potenciál_opatření!$A$1:$C$191,3,0)</f>
        <v>0.7</v>
      </c>
      <c r="H187" s="13">
        <f>Úsporná_opatření[[#This Row],[Potenciál úspor energie v TJ]]*Úsporná_opatření[[#This Row],[Investice '[Kč/GJ']]]*1000</f>
        <v>170326813753.24979</v>
      </c>
      <c r="I187" s="13">
        <f>Úsporná_opatření[[#This Row],[Podíl dotace '[%']]]*Úsporná_opatření[[#This Row],[Investice]]</f>
        <v>119228769627.27484</v>
      </c>
      <c r="J187" s="3">
        <v>40</v>
      </c>
      <c r="K187" s="12">
        <f>VLOOKUP(Úsporná_opatření[[#This Row],[Opatření podrobně]],Potenciál_opatření!$A$1:$C$191,2,0)</f>
        <v>9552.4596268920031</v>
      </c>
      <c r="L187" s="3">
        <v>25</v>
      </c>
      <c r="M187" s="3" t="s">
        <v>44</v>
      </c>
      <c r="N187" s="3" t="s">
        <v>7</v>
      </c>
      <c r="O187" s="4">
        <f>Úsporná_opatření[[#This Row],[Potenciál úspor energie v TJ]]*Úsporná_opatření[[#This Row],[Emisní koeficient CO2 '[kg/GJ']]]</f>
        <v>549331.81985140254</v>
      </c>
      <c r="P187" s="4">
        <f>Úsporná_opatření[[#This Row],[Potenciál úspor energie v TJ]]*Úsporná_opatření[[#This Row],[Emisní koeficient CH4 '[g/GJ']]]</f>
        <v>1132367.2721856292</v>
      </c>
      <c r="Q187" s="4">
        <f>Úsporná_opatření[[#This Row],[Potenciál úspor energie v TJ]]*Úsporná_opatření[[#This Row],[Emisní koeficient N2O '[g/GJ']]]</f>
        <v>15824.023095897788</v>
      </c>
      <c r="R187" s="4">
        <f>Úsporná_opatření[[#This Row],[Potenciál úspor energie v TJ]]*Úsporná_opatření[[#This Row],[Emisní koeficient CO2 eq '[kg/GJ']]]</f>
        <v>582356.5605386208</v>
      </c>
      <c r="S187" s="7">
        <f>VLOOKUP(Úsporná_opatření[[#This Row],[Šetřený nositel energie]] &amp; "#" &amp; Úsporná_opatření[[#This Row],[Nejpodobnější sektor]],Emiskoef,2,FALSE)</f>
        <v>57.506845494005361</v>
      </c>
      <c r="T187" s="7">
        <f>VLOOKUP(Úsporná_opatření[[#This Row],[Šetřený nositel energie]] &amp; "#" &amp; Úsporná_opatření[[#This Row],[Nejpodobnější sektor]],Emiskoef,3,FALSE)</f>
        <v>118.54195844992618</v>
      </c>
      <c r="U187" s="7">
        <f>VLOOKUP(Úsporná_opatření[[#This Row],[Šetřený nositel energie]] &amp; "#" &amp; Úsporná_opatření[[#This Row],[Nejpodobnější sektor]],Emiskoef,4,FALSE)</f>
        <v>1.6565391233217184</v>
      </c>
      <c r="V187" s="7">
        <f>Úsporná_opatření[[#This Row],[Emisní koeficient CO2 '[kg/GJ']]]+0.025*Úsporná_opatření[[#This Row],[Emisní koeficient CH4 '[g/GJ']]]+0.298*Úsporná_opatření[[#This Row],[Emisní koeficient N2O '[g/GJ']]]</f>
        <v>60.964043114003388</v>
      </c>
      <c r="W187" s="4">
        <f>1000*Úsporná_opatření[[#This Row],[Investice '[Kč/GJ']]]/Úsporná_opatření[[#This Row],[Emisní koeficient CO2 eq '[kg/GJ']]]</f>
        <v>292478.56947934913</v>
      </c>
      <c r="X187" s="7" t="s">
        <v>353</v>
      </c>
    </row>
    <row r="188" spans="2:24" x14ac:dyDescent="0.25">
      <c r="B188" s="3" t="s">
        <v>19</v>
      </c>
      <c r="C188" s="3" t="s">
        <v>83</v>
      </c>
      <c r="D188" s="3" t="s">
        <v>260</v>
      </c>
      <c r="E188" s="3" t="str">
        <f>CONCATENATE(Úsporná_opatření[[#This Row],[Sektor]],Úsporná_opatření[[#This Row],[Opatření]])</f>
        <v>DopravaZavedení rekuperace na železnici</v>
      </c>
      <c r="F188" s="4">
        <v>21600</v>
      </c>
      <c r="G188" s="11">
        <f>VLOOKUP(Úsporná_opatření[[#This Row],[Opatření podrobně]],Potenciál_opatření!$A$1:$C$191,3,0)</f>
        <v>0.79166666666666663</v>
      </c>
      <c r="H188" s="13">
        <f>Úsporná_opatření[[#This Row],[Potenciál úspor energie v TJ]]*Úsporná_opatření[[#This Row],[Investice '[Kč/GJ']]]*1000</f>
        <v>2466655727.4450002</v>
      </c>
      <c r="I188" s="13">
        <f>Úsporná_opatření[[#This Row],[Podíl dotace '[%']]]*Úsporná_opatření[[#This Row],[Investice]]</f>
        <v>1952769117.5606251</v>
      </c>
      <c r="J188" s="3">
        <v>24</v>
      </c>
      <c r="K188" s="12">
        <f>VLOOKUP(Úsporná_opatření[[#This Row],[Opatření podrobně]],Potenciál_opatření!$A$1:$C$191,2,0)</f>
        <v>114.19702441875</v>
      </c>
      <c r="L188" s="3">
        <v>20</v>
      </c>
      <c r="M188" s="3" t="s">
        <v>12</v>
      </c>
      <c r="N188" s="3" t="s">
        <v>283</v>
      </c>
      <c r="O188" s="4">
        <f>Úsporná_opatření[[#This Row],[Potenciál úspor energie v TJ]]*Úsporná_opatření[[#This Row],[Emisní koeficient CO2 '[kg/GJ']]]</f>
        <v>27784.747794513325</v>
      </c>
      <c r="P188" s="4">
        <f>Úsporná_opatření[[#This Row],[Potenciál úspor energie v TJ]]*Úsporná_opatření[[#This Row],[Emisní koeficient CH4 '[g/GJ']]]</f>
        <v>296.84577864918197</v>
      </c>
      <c r="Q188" s="4">
        <f>Úsporná_opatření[[#This Row],[Potenciál úspor energie v TJ]]*Úsporná_opatření[[#This Row],[Emisní koeficient N2O '[g/GJ']]]</f>
        <v>389.63982567702311</v>
      </c>
      <c r="R188" s="4">
        <f>Úsporná_opatření[[#This Row],[Potenciál úspor energie v TJ]]*Úsporná_opatření[[#This Row],[Emisní koeficient CO2 eq '[kg/GJ']]]</f>
        <v>27908.281607031309</v>
      </c>
      <c r="S188" s="7">
        <f>VLOOKUP(Úsporná_opatření[[#This Row],[Šetřený nositel energie]] &amp; "#" &amp; Úsporná_opatření[[#This Row],[Nejpodobnější sektor]],Emiskoef,2,FALSE)</f>
        <v>243.30535699975164</v>
      </c>
      <c r="T188" s="7">
        <f>VLOOKUP(Úsporná_opatření[[#This Row],[Šetřený nositel energie]] &amp; "#" &amp; Úsporná_opatření[[#This Row],[Nejpodobnější sektor]],Emiskoef,3,FALSE)</f>
        <v>2.5994178058499644</v>
      </c>
      <c r="U188" s="7">
        <f>VLOOKUP(Úsporná_opatření[[#This Row],[Šetřený nositel energie]] &amp; "#" &amp; Úsporná_opatření[[#This Row],[Nejpodobnější sektor]],Emiskoef,4,FALSE)</f>
        <v>3.4119963077868793</v>
      </c>
      <c r="V18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88" s="4">
        <f>1000*Úsporná_opatření[[#This Row],[Investice '[Kč/GJ']]]/Úsporná_opatření[[#This Row],[Emisní koeficient CO2 eq '[kg/GJ']]]</f>
        <v>88384.364260662405</v>
      </c>
      <c r="X188" s="7" t="s">
        <v>352</v>
      </c>
    </row>
    <row r="189" spans="2:24" x14ac:dyDescent="0.25">
      <c r="B189" s="3" t="s">
        <v>19</v>
      </c>
      <c r="C189" s="3" t="s">
        <v>84</v>
      </c>
      <c r="D189" s="3" t="s">
        <v>270</v>
      </c>
      <c r="E189" s="3" t="str">
        <f>CONCATENATE(Úsporná_opatření[[#This Row],[Sektor]],Úsporná_opatření[[#This Row],[Opatření]])</f>
        <v>DopravaZavedení rekuperace v MHD</v>
      </c>
      <c r="F189" s="4">
        <v>25200</v>
      </c>
      <c r="G189" s="11">
        <f>VLOOKUP(Úsporná_opatření[[#This Row],[Opatření podrobně]],Potenciál_opatření!$A$1:$C$191,3,0)</f>
        <v>0.8214285714285714</v>
      </c>
      <c r="H189" s="13">
        <f>Úsporná_opatření[[#This Row],[Potenciál úspor energie v TJ]]*Úsporná_opatření[[#This Row],[Investice '[Kč/GJ']]]*1000</f>
        <v>2714186793.4272003</v>
      </c>
      <c r="I189" s="13">
        <f>Úsporná_opatření[[#This Row],[Podíl dotace '[%']]]*Úsporná_opatření[[#This Row],[Investice]]</f>
        <v>2229510580.3152003</v>
      </c>
      <c r="J189" s="3">
        <v>28</v>
      </c>
      <c r="K189" s="12">
        <f>VLOOKUP(Úsporná_opatření[[#This Row],[Opatření podrobně]],Potenciál_opatření!$A$1:$C$191,2,0)</f>
        <v>107.70582513600003</v>
      </c>
      <c r="L189" s="3">
        <v>20</v>
      </c>
      <c r="M189" s="3" t="s">
        <v>12</v>
      </c>
      <c r="N189" s="3" t="s">
        <v>283</v>
      </c>
      <c r="O189" s="4">
        <f>Úsporná_opatření[[#This Row],[Potenciál úspor energie v TJ]]*Úsporná_opatření[[#This Row],[Emisní koeficient CO2 '[kg/GJ']]]</f>
        <v>26205.404235667309</v>
      </c>
      <c r="P189" s="4">
        <f>Úsporná_opatření[[#This Row],[Potenciál úspor energie v TJ]]*Úsporná_opatření[[#This Row],[Emisní koeficient CH4 '[g/GJ']]]</f>
        <v>279.97243965228114</v>
      </c>
      <c r="Q189" s="4">
        <f>Úsporná_opatření[[#This Row],[Potenciál úspor energie v TJ]]*Úsporná_opatření[[#This Row],[Emisní koeficient N2O '[g/GJ']]]</f>
        <v>367.49187769117134</v>
      </c>
      <c r="R189" s="4">
        <f>Úsporná_opatření[[#This Row],[Potenciál úspor energie v TJ]]*Úsporná_opatření[[#This Row],[Emisní koeficient CO2 eq '[kg/GJ']]]</f>
        <v>26321.916126210588</v>
      </c>
      <c r="S189" s="7">
        <f>VLOOKUP(Úsporná_opatření[[#This Row],[Šetřený nositel energie]] &amp; "#" &amp; Úsporná_opatření[[#This Row],[Nejpodobnější sektor]],Emiskoef,2,FALSE)</f>
        <v>243.30535699975164</v>
      </c>
      <c r="T189" s="7">
        <f>VLOOKUP(Úsporná_opatření[[#This Row],[Šetřený nositel energie]] &amp; "#" &amp; Úsporná_opatření[[#This Row],[Nejpodobnější sektor]],Emiskoef,3,FALSE)</f>
        <v>2.5994178058499644</v>
      </c>
      <c r="U189" s="7">
        <f>VLOOKUP(Úsporná_opatření[[#This Row],[Šetřený nositel energie]] &amp; "#" &amp; Úsporná_opatření[[#This Row],[Nejpodobnější sektor]],Emiskoef,4,FALSE)</f>
        <v>3.4119963077868793</v>
      </c>
      <c r="V18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89" s="4">
        <f>1000*Úsporná_opatření[[#This Row],[Investice '[Kč/GJ']]]/Úsporná_opatření[[#This Row],[Emisní koeficient CO2 eq '[kg/GJ']]]</f>
        <v>103115.09163743947</v>
      </c>
      <c r="X189" s="7" t="s">
        <v>352</v>
      </c>
    </row>
    <row r="190" spans="2:24" x14ac:dyDescent="0.25">
      <c r="B190" s="3" t="s">
        <v>4</v>
      </c>
      <c r="C190" s="3" t="s">
        <v>59</v>
      </c>
      <c r="D190" s="3" t="s">
        <v>100</v>
      </c>
      <c r="E190" s="3" t="str">
        <f>CONCATENATE(Úsporná_opatření[[#This Row],[Sektor]],Úsporná_opatření[[#This Row],[Opatření]])</f>
        <v>PrůmyslZměna technologických postupů</v>
      </c>
      <c r="F190" s="4">
        <v>1473.8503591186627</v>
      </c>
      <c r="G190" s="11">
        <f>VLOOKUP(Úsporná_opatření[[#This Row],[Opatření podrobně]],Potenciál_opatření!$A$1:$C$191,3,0)</f>
        <v>0</v>
      </c>
      <c r="H190" s="13">
        <f>Úsporná_opatření[[#This Row],[Potenciál úspor energie v TJ]]*Úsporná_opatření[[#This Row],[Investice '[Kč/GJ']]]*1000</f>
        <v>252929605.48999184</v>
      </c>
      <c r="I190" s="13">
        <f>Úsporná_opatření[[#This Row],[Podíl dotace '[%']]]*Úsporná_opatření[[#This Row],[Investice]]</f>
        <v>0</v>
      </c>
      <c r="J190" s="3">
        <v>5</v>
      </c>
      <c r="K190" s="12">
        <f>VLOOKUP(Úsporná_opatření[[#This Row],[Opatření podrobně]],Potenciál_opatření!$A$1:$C$191,2,0)</f>
        <v>171.61145561699996</v>
      </c>
      <c r="L190" s="3">
        <v>30</v>
      </c>
      <c r="M190" s="3" t="s">
        <v>15</v>
      </c>
      <c r="N190" s="3" t="s">
        <v>4</v>
      </c>
      <c r="O190" s="4">
        <f>Úsporná_opatření[[#This Row],[Potenciál úspor energie v TJ]]*Úsporná_opatření[[#This Row],[Emisní koeficient CO2 '[kg/GJ']]]</f>
        <v>18800.14541334748</v>
      </c>
      <c r="P190" s="4">
        <f>Úsporná_opatření[[#This Row],[Potenciál úspor energie v TJ]]*Úsporná_opatření[[#This Row],[Emisní koeficient CH4 '[g/GJ']]]</f>
        <v>733.75096098914491</v>
      </c>
      <c r="Q190" s="4">
        <f>Úsporná_opatření[[#This Row],[Potenciál úspor energie v TJ]]*Úsporná_opatření[[#This Row],[Emisní koeficient N2O '[g/GJ']]]</f>
        <v>252.66063049578898</v>
      </c>
      <c r="R190" s="4">
        <f>Úsporná_opatření[[#This Row],[Potenciál úspor energie v TJ]]*Úsporná_opatření[[#This Row],[Emisní koeficient CO2 eq '[kg/GJ']]]</f>
        <v>18893.782055259955</v>
      </c>
      <c r="S190" s="7">
        <f>VLOOKUP(Úsporná_opatření[[#This Row],[Šetřený nositel energie]] &amp; "#" &amp; Úsporná_opatření[[#This Row],[Nejpodobnější sektor]],Emiskoef,2,FALSE)</f>
        <v>109.55064360799655</v>
      </c>
      <c r="T190" s="7">
        <f>VLOOKUP(Úsporná_opatření[[#This Row],[Šetřený nositel energie]] &amp; "#" &amp; Úsporná_opatření[[#This Row],[Nejpodobnější sektor]],Emiskoef,3,FALSE)</f>
        <v>4.2756525684784119</v>
      </c>
      <c r="U190" s="7">
        <f>VLOOKUP(Úsporná_opatření[[#This Row],[Šetřený nositel energie]] &amp; "#" &amp; Úsporná_opatření[[#This Row],[Nejpodobnější sektor]],Emiskoef,4,FALSE)</f>
        <v>1.4722830104050479</v>
      </c>
      <c r="V190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190" s="4">
        <f>1000*Úsporná_opatření[[#This Row],[Investice '[Kč/GJ']]]/Úsporná_opatření[[#This Row],[Emisní koeficient CO2 eq '[kg/GJ']]]</f>
        <v>13386.922996689127</v>
      </c>
      <c r="X190" s="7" t="s">
        <v>351</v>
      </c>
    </row>
    <row r="191" spans="2:24" x14ac:dyDescent="0.25">
      <c r="B191" s="3" t="s">
        <v>4</v>
      </c>
      <c r="C191" s="3" t="s">
        <v>59</v>
      </c>
      <c r="D191" s="3" t="s">
        <v>104</v>
      </c>
      <c r="E191" s="3" t="str">
        <f>CONCATENATE(Úsporná_opatření[[#This Row],[Sektor]],Úsporná_opatření[[#This Row],[Opatření]])</f>
        <v>PrůmyslZměna technologických postupů</v>
      </c>
      <c r="F191" s="4">
        <v>2272.5521321570095</v>
      </c>
      <c r="G191" s="11">
        <f>VLOOKUP(Úsporná_opatření[[#This Row],[Opatření podrobně]],Potenciál_opatření!$A$1:$C$191,3,0)</f>
        <v>0.375</v>
      </c>
      <c r="H191" s="13">
        <f>Úsporná_opatření[[#This Row],[Potenciál úspor energie v TJ]]*Úsporná_opatření[[#This Row],[Investice '[Kč/GJ']]]*1000</f>
        <v>4679951752.379775</v>
      </c>
      <c r="I191" s="13">
        <f>Úsporná_opatření[[#This Row],[Podíl dotace '[%']]]*Úsporná_opatření[[#This Row],[Investice]]</f>
        <v>1754981907.1424155</v>
      </c>
      <c r="J191" s="3">
        <v>8</v>
      </c>
      <c r="K191" s="12">
        <f>VLOOKUP(Úsporná_opatření[[#This Row],[Opatření podrobně]],Potenciál_opatření!$A$1:$C$191,2,0)</f>
        <v>2059.3374674039997</v>
      </c>
      <c r="L191" s="3">
        <v>30</v>
      </c>
      <c r="M191" s="3" t="s">
        <v>15</v>
      </c>
      <c r="N191" s="3" t="s">
        <v>4</v>
      </c>
      <c r="O191" s="4">
        <f>Úsporná_opatření[[#This Row],[Potenciál úspor energie v TJ]]*Úsporná_opatření[[#This Row],[Emisní koeficient CO2 '[kg/GJ']]]</f>
        <v>225601.74496016977</v>
      </c>
      <c r="P191" s="4">
        <f>Úsporná_opatření[[#This Row],[Potenciál úspor energie v TJ]]*Úsporná_opatření[[#This Row],[Emisní koeficient CH4 '[g/GJ']]]</f>
        <v>8805.011531869739</v>
      </c>
      <c r="Q191" s="4">
        <f>Úsporná_opatření[[#This Row],[Potenciál úspor energie v TJ]]*Úsporná_opatření[[#This Row],[Emisní koeficient N2O '[g/GJ']]]</f>
        <v>3031.9275659494679</v>
      </c>
      <c r="R191" s="4">
        <f>Úsporná_opatření[[#This Row],[Potenciál úspor energie v TJ]]*Úsporná_opatření[[#This Row],[Emisní koeficient CO2 eq '[kg/GJ']]]</f>
        <v>226725.38466311948</v>
      </c>
      <c r="S191" s="7">
        <f>VLOOKUP(Úsporná_opatření[[#This Row],[Šetřený nositel energie]] &amp; "#" &amp; Úsporná_opatření[[#This Row],[Nejpodobnější sektor]],Emiskoef,2,FALSE)</f>
        <v>109.55064360799655</v>
      </c>
      <c r="T191" s="7">
        <f>VLOOKUP(Úsporná_opatření[[#This Row],[Šetřený nositel energie]] &amp; "#" &amp; Úsporná_opatření[[#This Row],[Nejpodobnější sektor]],Emiskoef,3,FALSE)</f>
        <v>4.2756525684784119</v>
      </c>
      <c r="U191" s="7">
        <f>VLOOKUP(Úsporná_opatření[[#This Row],[Šetřený nositel energie]] &amp; "#" &amp; Úsporná_opatření[[#This Row],[Nejpodobnější sektor]],Emiskoef,4,FALSE)</f>
        <v>1.4722830104050479</v>
      </c>
      <c r="V191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191" s="4">
        <f>1000*Úsporná_opatření[[#This Row],[Investice '[Kč/GJ']]]/Úsporná_opatření[[#This Row],[Emisní koeficient CO2 eq '[kg/GJ']]]</f>
        <v>20641.498786443761</v>
      </c>
      <c r="X191" s="7" t="s">
        <v>352</v>
      </c>
    </row>
    <row r="192" spans="2:24" x14ac:dyDescent="0.25">
      <c r="B192" s="3" t="s">
        <v>19</v>
      </c>
      <c r="C192" s="3" t="s">
        <v>82</v>
      </c>
      <c r="D192" s="3" t="s">
        <v>225</v>
      </c>
      <c r="E192" s="3" t="s">
        <v>333</v>
      </c>
      <c r="F192" s="4">
        <v>11160</v>
      </c>
      <c r="G192" s="11">
        <v>0.59677419354838712</v>
      </c>
      <c r="H192" s="19">
        <v>12335763.269214002</v>
      </c>
      <c r="I192" s="19">
        <v>7361665.1767890016</v>
      </c>
      <c r="J192" s="3">
        <v>12.4</v>
      </c>
      <c r="K192" s="12">
        <v>1105.3551316500002</v>
      </c>
      <c r="L192" s="3">
        <v>15</v>
      </c>
      <c r="M192" s="3" t="s">
        <v>282</v>
      </c>
      <c r="N192" s="3" t="s">
        <v>21</v>
      </c>
      <c r="O192" s="4">
        <v>268764.45737739076</v>
      </c>
      <c r="P192" s="4">
        <v>2874.2395552817111</v>
      </c>
      <c r="Q192" s="4">
        <v>3773.1263834815895</v>
      </c>
      <c r="R192" s="4">
        <v>269960.70502855029</v>
      </c>
      <c r="S192" s="7">
        <v>268764.45737739076</v>
      </c>
      <c r="T192" s="7">
        <v>2874.2395552817111</v>
      </c>
      <c r="U192" s="7">
        <v>3773.1263834815895</v>
      </c>
      <c r="V192" s="7">
        <v>269960.70502855029</v>
      </c>
      <c r="W192" s="4">
        <v>45665.254868008909</v>
      </c>
      <c r="X192" s="7" t="s">
        <v>351</v>
      </c>
    </row>
    <row r="193" spans="2:24" x14ac:dyDescent="0.25">
      <c r="B193" s="3" t="s">
        <v>19</v>
      </c>
      <c r="C193" s="3" t="s">
        <v>82</v>
      </c>
      <c r="D193" s="3" t="s">
        <v>226</v>
      </c>
      <c r="E193" s="3" t="s">
        <v>333</v>
      </c>
      <c r="F193" s="4">
        <v>11160</v>
      </c>
      <c r="G193" s="11">
        <v>0.59677419354838712</v>
      </c>
      <c r="H193" s="19">
        <v>185036449.03821</v>
      </c>
      <c r="I193" s="19">
        <v>110424977.65183501</v>
      </c>
      <c r="J193" s="3">
        <v>12.4</v>
      </c>
      <c r="K193" s="12">
        <v>16580.326974750002</v>
      </c>
      <c r="L193" s="3">
        <v>15</v>
      </c>
      <c r="M193" s="3" t="s">
        <v>282</v>
      </c>
      <c r="N193" s="3" t="s">
        <v>21</v>
      </c>
      <c r="O193" s="4">
        <v>4033908.0062239412</v>
      </c>
      <c r="P193" s="4">
        <v>43100.156909262696</v>
      </c>
      <c r="Q193" s="4">
        <v>56573.673175244716</v>
      </c>
      <c r="R193" s="4">
        <v>4051844.4647528958</v>
      </c>
      <c r="S193" s="7">
        <v>4033908.0062239412</v>
      </c>
      <c r="T193" s="7">
        <v>43100.156909262696</v>
      </c>
      <c r="U193" s="7">
        <v>56573.673175244716</v>
      </c>
      <c r="V193" s="7">
        <v>4051844.4647528958</v>
      </c>
      <c r="W193" s="4">
        <v>45665.254868008909</v>
      </c>
      <c r="X193" s="7" t="s">
        <v>352</v>
      </c>
    </row>
    <row r="194" spans="2:24" x14ac:dyDescent="0.25">
      <c r="B194" s="3" t="s">
        <v>19</v>
      </c>
      <c r="C194" s="3" t="s">
        <v>82</v>
      </c>
      <c r="D194" s="3" t="s">
        <v>227</v>
      </c>
      <c r="E194" s="3" t="s">
        <v>333</v>
      </c>
      <c r="F194" s="4">
        <v>11160</v>
      </c>
      <c r="G194" s="11">
        <v>0.59677419354838712</v>
      </c>
      <c r="H194" s="19">
        <v>49343053.07685601</v>
      </c>
      <c r="I194" s="19">
        <v>29446660.707156006</v>
      </c>
      <c r="J194" s="3">
        <v>12.4</v>
      </c>
      <c r="K194" s="12">
        <v>4421.4205266000008</v>
      </c>
      <c r="L194" s="3">
        <v>15</v>
      </c>
      <c r="M194" s="3" t="s">
        <v>282</v>
      </c>
      <c r="N194" s="3" t="s">
        <v>21</v>
      </c>
      <c r="O194" s="4">
        <v>1075580.9321302231</v>
      </c>
      <c r="P194" s="4">
        <v>11494.078988277637</v>
      </c>
      <c r="Q194" s="4">
        <v>15087.529267430831</v>
      </c>
      <c r="R194" s="4">
        <v>1080364.3678266243</v>
      </c>
      <c r="S194" s="7">
        <v>1075580.9321302231</v>
      </c>
      <c r="T194" s="7">
        <v>11494.078988277637</v>
      </c>
      <c r="U194" s="7">
        <v>15087.529267430831</v>
      </c>
      <c r="V194" s="7">
        <v>1080364.3678266243</v>
      </c>
      <c r="W194" s="4">
        <v>45665.254868008909</v>
      </c>
      <c r="X194" s="7" t="s">
        <v>353</v>
      </c>
    </row>
    <row r="195" spans="2:24" x14ac:dyDescent="0.25">
      <c r="B195" s="3" t="s">
        <v>7</v>
      </c>
      <c r="C195" s="3" t="s">
        <v>71</v>
      </c>
      <c r="D195" s="3" t="s">
        <v>344</v>
      </c>
      <c r="E195" s="3" t="s">
        <v>347</v>
      </c>
      <c r="F195" s="4">
        <v>5925.1450971968643</v>
      </c>
      <c r="G195" s="11">
        <v>0.2</v>
      </c>
      <c r="H195" s="19">
        <v>10019766.500620797</v>
      </c>
      <c r="I195" s="19">
        <v>2003953.3001241595</v>
      </c>
      <c r="J195" s="3">
        <v>50</v>
      </c>
      <c r="K195" s="12">
        <v>1691.058419035352</v>
      </c>
      <c r="L195" s="3">
        <v>20</v>
      </c>
      <c r="M195" s="3" t="s">
        <v>281</v>
      </c>
      <c r="N195" s="3" t="s">
        <v>7</v>
      </c>
      <c r="O195" s="4">
        <v>93760.081069212873</v>
      </c>
      <c r="P195" s="4">
        <v>8750.2920951767592</v>
      </c>
      <c r="Q195" s="4">
        <v>170.5058419035521</v>
      </c>
      <c r="R195" s="4">
        <v>94029.649112479558</v>
      </c>
      <c r="S195" s="7">
        <v>93760.081069212873</v>
      </c>
      <c r="T195" s="7">
        <v>8750.2920951767592</v>
      </c>
      <c r="U195" s="7">
        <v>170.5058419035521</v>
      </c>
      <c r="V195" s="7">
        <v>94029.649112479558</v>
      </c>
      <c r="W195" s="4">
        <v>106615.21281648555</v>
      </c>
      <c r="X195" s="7" t="s">
        <v>352</v>
      </c>
    </row>
    <row r="196" spans="2:24" x14ac:dyDescent="0.25">
      <c r="B196" s="3" t="s">
        <v>6</v>
      </c>
      <c r="C196" s="3" t="s">
        <v>71</v>
      </c>
      <c r="D196" s="3" t="s">
        <v>345</v>
      </c>
      <c r="E196" s="3" t="s">
        <v>348</v>
      </c>
      <c r="F196" s="4">
        <v>5997.7176457952955</v>
      </c>
      <c r="G196" s="11">
        <v>0.2</v>
      </c>
      <c r="H196" s="19">
        <v>132372.52487932288</v>
      </c>
      <c r="I196" s="19">
        <v>26474.504975864576</v>
      </c>
      <c r="J196" s="3">
        <v>50</v>
      </c>
      <c r="K196" s="12">
        <v>22.07048292313706</v>
      </c>
      <c r="L196" s="3">
        <v>20</v>
      </c>
      <c r="M196" s="3" t="s">
        <v>281</v>
      </c>
      <c r="N196" s="3" t="s">
        <v>6</v>
      </c>
      <c r="O196" s="4">
        <v>1266.3684179290924</v>
      </c>
      <c r="P196" s="4">
        <v>115.3524146156853</v>
      </c>
      <c r="Q196" s="4">
        <v>3.6070482923122311</v>
      </c>
      <c r="R196" s="4">
        <v>1270.3271286855934</v>
      </c>
      <c r="S196" s="7">
        <v>1266.3684179290924</v>
      </c>
      <c r="T196" s="7">
        <v>115.3524146156853</v>
      </c>
      <c r="U196" s="7">
        <v>3.6070482923122311</v>
      </c>
      <c r="V196" s="7">
        <v>1270.3271286855934</v>
      </c>
      <c r="W196" s="4">
        <v>107921.06062046887</v>
      </c>
      <c r="X196" s="7" t="s">
        <v>352</v>
      </c>
    </row>
    <row r="197" spans="2:24" x14ac:dyDescent="0.25">
      <c r="B197" s="3" t="s">
        <v>311</v>
      </c>
      <c r="C197" s="3" t="s">
        <v>71</v>
      </c>
      <c r="D197" s="3" t="s">
        <v>346</v>
      </c>
      <c r="E197" s="3" t="s">
        <v>349</v>
      </c>
      <c r="F197" s="4">
        <v>5997.7176457952955</v>
      </c>
      <c r="G197" s="11">
        <v>0.2</v>
      </c>
      <c r="H197" s="19">
        <v>184402.09901534658</v>
      </c>
      <c r="I197" s="19">
        <v>36880.419803069315</v>
      </c>
      <c r="J197" s="3">
        <v>50</v>
      </c>
      <c r="K197" s="12">
        <v>30.745378476531286</v>
      </c>
      <c r="L197" s="3">
        <v>20</v>
      </c>
      <c r="M197" s="3" t="s">
        <v>281</v>
      </c>
      <c r="N197" s="3" t="s">
        <v>6</v>
      </c>
      <c r="O197" s="4">
        <v>1747.1332424177631</v>
      </c>
      <c r="P197" s="4">
        <v>158.72689238265644</v>
      </c>
      <c r="Q197" s="4">
        <v>4.474537847651046</v>
      </c>
      <c r="R197" s="4">
        <v>1752.4348270059295</v>
      </c>
      <c r="S197" s="7">
        <v>1747.1332424177631</v>
      </c>
      <c r="T197" s="7">
        <v>158.72689238265644</v>
      </c>
      <c r="U197" s="7">
        <v>4.474537847651046</v>
      </c>
      <c r="V197" s="7">
        <v>1752.4348270059295</v>
      </c>
      <c r="W197" s="4">
        <v>107921.06062046887</v>
      </c>
      <c r="X197" s="7" t="s">
        <v>352</v>
      </c>
    </row>
    <row r="198" spans="2:24" x14ac:dyDescent="0.25">
      <c r="B198" s="3" t="s">
        <v>7</v>
      </c>
      <c r="C198" s="3" t="s">
        <v>72</v>
      </c>
      <c r="D198" s="3" t="s">
        <v>141</v>
      </c>
      <c r="E198" s="3" t="s">
        <v>334</v>
      </c>
      <c r="F198" s="4">
        <v>4125.7254859843197</v>
      </c>
      <c r="G198" s="11">
        <v>0</v>
      </c>
      <c r="H198" s="19">
        <v>10769490.23136925</v>
      </c>
      <c r="I198" s="19">
        <v>0</v>
      </c>
      <c r="J198" s="3">
        <v>-15</v>
      </c>
      <c r="K198" s="12">
        <v>2610.3264184577356</v>
      </c>
      <c r="L198" s="3">
        <v>20</v>
      </c>
      <c r="M198" s="3" t="s">
        <v>281</v>
      </c>
      <c r="N198" s="3" t="s">
        <v>7</v>
      </c>
      <c r="O198" s="4">
        <v>634959.72761530848</v>
      </c>
      <c r="P198" s="4">
        <v>7082.7295534137529</v>
      </c>
      <c r="Q198" s="4">
        <v>8904.5121055885556</v>
      </c>
      <c r="R198" s="4">
        <v>637790.34046160919</v>
      </c>
      <c r="S198" s="7">
        <v>634959.72761530848</v>
      </c>
      <c r="T198" s="7">
        <v>7082.7295534137529</v>
      </c>
      <c r="U198" s="7">
        <v>8904.5121055885556</v>
      </c>
      <c r="V198" s="7">
        <v>637790.34046160919</v>
      </c>
      <c r="W198" s="4">
        <v>16881.927045960027</v>
      </c>
      <c r="X198" s="7" t="s">
        <v>352</v>
      </c>
    </row>
    <row r="199" spans="2:24" x14ac:dyDescent="0.25">
      <c r="B199" s="3" t="s">
        <v>6</v>
      </c>
      <c r="C199" s="3" t="s">
        <v>72</v>
      </c>
      <c r="D199" s="3" t="s">
        <v>147</v>
      </c>
      <c r="E199" s="3" t="s">
        <v>335</v>
      </c>
      <c r="F199" s="4">
        <v>4488.5882289764795</v>
      </c>
      <c r="G199" s="11">
        <v>0</v>
      </c>
      <c r="H199" s="19">
        <v>152917.71860782136</v>
      </c>
      <c r="I199" s="19">
        <v>0</v>
      </c>
      <c r="J199" s="3">
        <v>-15</v>
      </c>
      <c r="K199" s="12">
        <v>34.068110240241566</v>
      </c>
      <c r="L199" s="3">
        <v>20</v>
      </c>
      <c r="M199" s="3" t="s">
        <v>281</v>
      </c>
      <c r="N199" s="3" t="s">
        <v>6</v>
      </c>
      <c r="O199" s="4">
        <v>8144.2854895605369</v>
      </c>
      <c r="P199" s="4">
        <v>95.957834564293478</v>
      </c>
      <c r="Q199" s="4">
        <v>114.32827004519372</v>
      </c>
      <c r="R199" s="4">
        <v>8180.7542598981117</v>
      </c>
      <c r="S199" s="7">
        <v>8144.2854895605369</v>
      </c>
      <c r="T199" s="7">
        <v>95.957834564293478</v>
      </c>
      <c r="U199" s="7">
        <v>114.32827004519372</v>
      </c>
      <c r="V199" s="7">
        <v>8180.7542598981117</v>
      </c>
      <c r="W199" s="4">
        <v>18366.713752128646</v>
      </c>
      <c r="X199" s="7" t="s">
        <v>352</v>
      </c>
    </row>
    <row r="200" spans="2:24" x14ac:dyDescent="0.25">
      <c r="B200" s="3" t="s">
        <v>311</v>
      </c>
      <c r="C200" s="3" t="s">
        <v>72</v>
      </c>
      <c r="D200" s="3" t="s">
        <v>148</v>
      </c>
      <c r="E200" s="3" t="s">
        <v>336</v>
      </c>
      <c r="F200" s="4">
        <v>4488.5882289764795</v>
      </c>
      <c r="G200" s="11">
        <v>0.2</v>
      </c>
      <c r="H200" s="19">
        <v>213022.66700455657</v>
      </c>
      <c r="I200" s="19">
        <v>42604.533400911314</v>
      </c>
      <c r="J200" s="3">
        <v>-15</v>
      </c>
      <c r="K200" s="12">
        <v>47.458723353006597</v>
      </c>
      <c r="L200" s="3">
        <v>20</v>
      </c>
      <c r="M200" s="3" t="s">
        <v>281</v>
      </c>
      <c r="N200" s="3" t="s">
        <v>6</v>
      </c>
      <c r="O200" s="4">
        <v>11402.293393407388</v>
      </c>
      <c r="P200" s="4">
        <v>130.76563272086292</v>
      </c>
      <c r="Q200" s="4">
        <v>160.01699254495057</v>
      </c>
      <c r="R200" s="4">
        <v>11453.247598003805</v>
      </c>
      <c r="S200" s="7">
        <v>11402.293393407388</v>
      </c>
      <c r="T200" s="7">
        <v>130.76563272086292</v>
      </c>
      <c r="U200" s="7">
        <v>160.01699254495057</v>
      </c>
      <c r="V200" s="7">
        <v>11453.247598003805</v>
      </c>
      <c r="W200" s="4">
        <v>18366.713752128646</v>
      </c>
      <c r="X200" s="7" t="s">
        <v>352</v>
      </c>
    </row>
    <row r="201" spans="2:24" x14ac:dyDescent="0.25">
      <c r="B201" s="3" t="s">
        <v>4</v>
      </c>
      <c r="C201" s="3" t="s">
        <v>71</v>
      </c>
      <c r="D201" s="3" t="s">
        <v>140</v>
      </c>
      <c r="E201" s="3" t="s">
        <v>337</v>
      </c>
      <c r="F201" s="4">
        <v>4080.9150467189347</v>
      </c>
      <c r="G201" s="11">
        <v>0.9</v>
      </c>
      <c r="H201" s="19">
        <v>2119879.7594174808</v>
      </c>
      <c r="I201" s="19">
        <v>1907891.7834757327</v>
      </c>
      <c r="J201" s="3">
        <v>50</v>
      </c>
      <c r="K201" s="12">
        <v>519.46186949465391</v>
      </c>
      <c r="L201" s="3">
        <v>20</v>
      </c>
      <c r="M201" s="3" t="s">
        <v>281</v>
      </c>
      <c r="N201" s="3" t="s">
        <v>4</v>
      </c>
      <c r="O201" s="4">
        <v>28824.350150545368</v>
      </c>
      <c r="P201" s="4">
        <v>527.11642881537159</v>
      </c>
      <c r="Q201" s="4">
        <v>53.136896177110508</v>
      </c>
      <c r="R201" s="4">
        <v>28853.36285632653</v>
      </c>
      <c r="S201" s="7">
        <v>28824.350150545368</v>
      </c>
      <c r="T201" s="7">
        <v>527.11642881537159</v>
      </c>
      <c r="U201" s="7">
        <v>53.136896177110508</v>
      </c>
      <c r="V201" s="7">
        <v>28853.36285632653</v>
      </c>
      <c r="W201" s="4">
        <v>73563.079617582829</v>
      </c>
      <c r="X201" s="7" t="s">
        <v>351</v>
      </c>
    </row>
    <row r="202" spans="2:24" x14ac:dyDescent="0.25">
      <c r="B202" s="3" t="s">
        <v>42</v>
      </c>
      <c r="C202" s="3" t="s">
        <v>71</v>
      </c>
      <c r="D202" s="3" t="s">
        <v>166</v>
      </c>
      <c r="E202" s="3" t="s">
        <v>338</v>
      </c>
      <c r="F202" s="4">
        <v>6500</v>
      </c>
      <c r="G202" s="11">
        <v>0.9</v>
      </c>
      <c r="H202" s="19">
        <v>18087.999368528992</v>
      </c>
      <c r="I202" s="19">
        <v>16279.199431676094</v>
      </c>
      <c r="J202" s="3">
        <v>50</v>
      </c>
      <c r="K202" s="12">
        <v>2.782769133619845</v>
      </c>
      <c r="L202" s="3">
        <v>20</v>
      </c>
      <c r="M202" s="3" t="s">
        <v>281</v>
      </c>
      <c r="N202" s="3" t="s">
        <v>4</v>
      </c>
      <c r="O202" s="4">
        <v>189.86856248229429</v>
      </c>
      <c r="P202" s="4">
        <v>10.437328454363366</v>
      </c>
      <c r="Q202" s="4">
        <v>1.4689861410329352</v>
      </c>
      <c r="R202" s="4">
        <v>190.56725356368119</v>
      </c>
      <c r="S202" s="7">
        <v>189.86856248229429</v>
      </c>
      <c r="T202" s="7">
        <v>10.437328454363366</v>
      </c>
      <c r="U202" s="7">
        <v>1.4689861410329352</v>
      </c>
      <c r="V202" s="7">
        <v>190.56725356368119</v>
      </c>
      <c r="W202" s="4">
        <v>117169.80433070523</v>
      </c>
      <c r="X202" s="7" t="s">
        <v>351</v>
      </c>
    </row>
    <row r="203" spans="2:24" x14ac:dyDescent="0.25">
      <c r="B203" s="3" t="s">
        <v>7</v>
      </c>
      <c r="C203" s="3" t="s">
        <v>80</v>
      </c>
      <c r="D203" s="3" t="s">
        <v>212</v>
      </c>
      <c r="E203" s="3" t="s">
        <v>339</v>
      </c>
      <c r="F203" s="4">
        <v>9620</v>
      </c>
      <c r="G203" s="11">
        <v>0.4</v>
      </c>
      <c r="H203" s="19">
        <v>6547363.9526294991</v>
      </c>
      <c r="I203" s="19">
        <v>2618945.5810517999</v>
      </c>
      <c r="J203" s="3">
        <v>20</v>
      </c>
      <c r="K203" s="12">
        <v>680.59916347499995</v>
      </c>
      <c r="L203" s="3">
        <v>15</v>
      </c>
      <c r="M203" s="3" t="s">
        <v>54</v>
      </c>
      <c r="N203" s="3" t="s">
        <v>7</v>
      </c>
      <c r="O203" s="4">
        <v>165405.53732958459</v>
      </c>
      <c r="P203" s="4">
        <v>1771.5621663776556</v>
      </c>
      <c r="Q203" s="4">
        <v>2318.8898365517516</v>
      </c>
      <c r="R203" s="4">
        <v>166140.85555503645</v>
      </c>
      <c r="S203" s="7">
        <v>165405.53732958459</v>
      </c>
      <c r="T203" s="7">
        <v>1771.5621663776556</v>
      </c>
      <c r="U203" s="7">
        <v>2318.8898365517516</v>
      </c>
      <c r="V203" s="7">
        <v>166140.85555503645</v>
      </c>
      <c r="W203" s="4">
        <v>39363.777045720941</v>
      </c>
      <c r="X203" s="7" t="s">
        <v>351</v>
      </c>
    </row>
    <row r="204" spans="2:24" x14ac:dyDescent="0.25">
      <c r="B204" s="3" t="s">
        <v>7</v>
      </c>
      <c r="C204" s="3" t="s">
        <v>80</v>
      </c>
      <c r="D204" s="3" t="s">
        <v>230</v>
      </c>
      <c r="E204" s="3" t="s">
        <v>339</v>
      </c>
      <c r="F204" s="4">
        <v>11700</v>
      </c>
      <c r="G204" s="11">
        <v>0.53846153846153844</v>
      </c>
      <c r="H204" s="19">
        <v>15926020.425314998</v>
      </c>
      <c r="I204" s="19">
        <v>8575549.4597849995</v>
      </c>
      <c r="J204" s="3">
        <v>26</v>
      </c>
      <c r="K204" s="12">
        <v>1361.1983269499999</v>
      </c>
      <c r="L204" s="3">
        <v>15</v>
      </c>
      <c r="M204" s="3" t="s">
        <v>54</v>
      </c>
      <c r="N204" s="3" t="s">
        <v>7</v>
      </c>
      <c r="O204" s="4">
        <v>330998.95977260178</v>
      </c>
      <c r="P204" s="4">
        <v>3540.7237505611611</v>
      </c>
      <c r="Q204" s="4">
        <v>4641.0916694112902</v>
      </c>
      <c r="R204" s="4">
        <v>332470.5231838504</v>
      </c>
      <c r="S204" s="7">
        <v>330998.95977260178</v>
      </c>
      <c r="T204" s="7">
        <v>3540.7237505611611</v>
      </c>
      <c r="U204" s="7">
        <v>4641.0916694112902</v>
      </c>
      <c r="V204" s="7">
        <v>332470.5231838504</v>
      </c>
      <c r="W204" s="4">
        <v>47874.86397452547</v>
      </c>
      <c r="X204" s="7" t="s">
        <v>352</v>
      </c>
    </row>
    <row r="205" spans="2:24" x14ac:dyDescent="0.25">
      <c r="B205" s="3" t="s">
        <v>7</v>
      </c>
      <c r="C205" s="3" t="s">
        <v>80</v>
      </c>
      <c r="D205" s="3" t="s">
        <v>273</v>
      </c>
      <c r="E205" s="3" t="s">
        <v>339</v>
      </c>
      <c r="F205" s="4">
        <v>20800</v>
      </c>
      <c r="G205" s="11">
        <v>0.68421052631578949</v>
      </c>
      <c r="H205" s="19">
        <v>14156462.60028</v>
      </c>
      <c r="I205" s="19">
        <v>9686000.7265073694</v>
      </c>
      <c r="J205" s="3">
        <v>38</v>
      </c>
      <c r="K205" s="12">
        <v>680.59916347499995</v>
      </c>
      <c r="L205" s="3">
        <v>15</v>
      </c>
      <c r="M205" s="3" t="s">
        <v>54</v>
      </c>
      <c r="N205" s="3" t="s">
        <v>7</v>
      </c>
      <c r="O205" s="4">
        <v>165405.53732958459</v>
      </c>
      <c r="P205" s="4">
        <v>1771.5621663776556</v>
      </c>
      <c r="Q205" s="4">
        <v>2318.8898365517516</v>
      </c>
      <c r="R205" s="4">
        <v>166140.85555503645</v>
      </c>
      <c r="S205" s="7">
        <v>165405.53732958459</v>
      </c>
      <c r="T205" s="7">
        <v>1771.5621663776556</v>
      </c>
      <c r="U205" s="7">
        <v>2318.8898365517516</v>
      </c>
      <c r="V205" s="7">
        <v>166140.85555503645</v>
      </c>
      <c r="W205" s="4">
        <v>85110.869288045287</v>
      </c>
      <c r="X205" s="7" t="s">
        <v>353</v>
      </c>
    </row>
    <row r="206" spans="2:24" x14ac:dyDescent="0.25">
      <c r="B206" s="3" t="s">
        <v>4</v>
      </c>
      <c r="C206" s="3" t="s">
        <v>59</v>
      </c>
      <c r="D206" s="3" t="s">
        <v>126</v>
      </c>
      <c r="E206" s="3" t="str">
        <f>CONCATENATE(Úsporná_opatření[[#This Row],[Sektor]],Úsporná_opatření[[#This Row],[Opatření]])</f>
        <v>PrůmyslZměna technologických postupů</v>
      </c>
      <c r="F206" s="4">
        <v>4294.4514783145323</v>
      </c>
      <c r="G206" s="11">
        <f>VLOOKUP(Úsporná_opatření[[#This Row],[Opatření podrobně]],Potenciál_opatření!$A$1:$C$191,3,0)</f>
        <v>0.83333333333333337</v>
      </c>
      <c r="H206" s="13">
        <f>Úsporná_opatření[[#This Row],[Potenciál úspor energie v TJ]]*Úsporná_opatření[[#This Row],[Investice '[Kč/GJ']]]*1000</f>
        <v>5158839484.8909397</v>
      </c>
      <c r="I206" s="13">
        <f>Úsporná_opatření[[#This Row],[Podíl dotace '[%']]]*Úsporná_opatření[[#This Row],[Investice]]</f>
        <v>4299032904.0757837</v>
      </c>
      <c r="J206" s="3">
        <v>30</v>
      </c>
      <c r="K206" s="12">
        <f>VLOOKUP(Úsporná_opatření[[#This Row],[Opatření podrobně]],Potenciál_opatření!$A$1:$C$191,2,0)</f>
        <v>1201.2801893189996</v>
      </c>
      <c r="L206" s="3">
        <v>30</v>
      </c>
      <c r="M206" s="3" t="s">
        <v>15</v>
      </c>
      <c r="N206" s="3" t="s">
        <v>4</v>
      </c>
      <c r="O206" s="4">
        <f>Úsporná_opatření[[#This Row],[Potenciál úspor energie v TJ]]*Úsporná_opatření[[#This Row],[Emisní koeficient CO2 '[kg/GJ']]]</f>
        <v>131601.01789343235</v>
      </c>
      <c r="P206" s="4">
        <f>Úsporná_opatření[[#This Row],[Potenciál úspor energie v TJ]]*Úsporná_opatření[[#This Row],[Emisní koeficient CH4 '[g/GJ']]]</f>
        <v>5136.2567269240135</v>
      </c>
      <c r="Q206" s="4">
        <f>Úsporná_opatření[[#This Row],[Potenciál úspor energie v TJ]]*Úsporná_opatření[[#This Row],[Emisní koeficient N2O '[g/GJ']]]</f>
        <v>1768.6244134705228</v>
      </c>
      <c r="R206" s="4">
        <f>Úsporná_opatření[[#This Row],[Potenciál úspor energie v TJ]]*Úsporná_opatření[[#This Row],[Emisní koeficient CO2 eq '[kg/GJ']]]</f>
        <v>132256.47438681967</v>
      </c>
      <c r="S206" s="7">
        <f>VLOOKUP(Úsporná_opatření[[#This Row],[Šetřený nositel energie]] &amp; "#" &amp; Úsporná_opatření[[#This Row],[Nejpodobnější sektor]],Emiskoef,2,FALSE)</f>
        <v>109.55064360799655</v>
      </c>
      <c r="T206" s="7">
        <f>VLOOKUP(Úsporná_opatření[[#This Row],[Šetřený nositel energie]] &amp; "#" &amp; Úsporná_opatření[[#This Row],[Nejpodobnější sektor]],Emiskoef,3,FALSE)</f>
        <v>4.2756525684784119</v>
      </c>
      <c r="U206" s="7">
        <f>VLOOKUP(Úsporná_opatření[[#This Row],[Šetřený nositel energie]] &amp; "#" &amp; Úsporná_opatření[[#This Row],[Nejpodobnější sektor]],Emiskoef,4,FALSE)</f>
        <v>1.4722830104050479</v>
      </c>
      <c r="V206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206" s="4">
        <f>1000*Úsporná_opatření[[#This Row],[Investice '[Kč/GJ']]]/Úsporná_opatření[[#This Row],[Emisní koeficient CO2 eq '[kg/GJ']]]</f>
        <v>39006.328490222135</v>
      </c>
      <c r="X206" s="7" t="s">
        <v>353</v>
      </c>
    </row>
    <row r="207" spans="2:24" x14ac:dyDescent="0.25">
      <c r="F207" s="4"/>
      <c r="G207" s="53"/>
      <c r="H207" s="54"/>
      <c r="I207" s="54"/>
      <c r="K207" s="12"/>
      <c r="O207" s="4"/>
      <c r="P207" s="4"/>
      <c r="Q207" s="4"/>
      <c r="R207" s="4"/>
      <c r="S207" s="7"/>
      <c r="T207" s="7"/>
      <c r="U207" s="7"/>
      <c r="V207" s="7"/>
      <c r="W207" s="4"/>
    </row>
    <row r="208" spans="2:24" x14ac:dyDescent="0.25">
      <c r="F208" s="4"/>
      <c r="G208" s="11"/>
      <c r="H208" s="13"/>
      <c r="I208" s="13"/>
      <c r="K208" s="12"/>
      <c r="O208" s="4"/>
      <c r="P208" s="4"/>
      <c r="Q208" s="4"/>
      <c r="R208" s="4"/>
      <c r="S208" s="7"/>
      <c r="T208" s="7"/>
      <c r="U208" s="7"/>
      <c r="V208" s="7"/>
      <c r="W208" s="4"/>
    </row>
    <row r="209" spans="6:23" x14ac:dyDescent="0.25">
      <c r="F209" s="4"/>
      <c r="G209" s="11"/>
      <c r="H209" s="13"/>
      <c r="I209" s="13"/>
      <c r="K209" s="12"/>
      <c r="O209" s="4"/>
      <c r="P209" s="4"/>
      <c r="Q209" s="4"/>
      <c r="R209" s="4"/>
      <c r="S209" s="7"/>
      <c r="T209" s="7"/>
      <c r="U209" s="7"/>
      <c r="V209" s="7"/>
      <c r="W209" s="4"/>
    </row>
    <row r="210" spans="6:23" x14ac:dyDescent="0.25">
      <c r="F210" s="4"/>
      <c r="G210" s="11"/>
      <c r="H210" s="13"/>
      <c r="I210" s="13"/>
      <c r="K210" s="12"/>
      <c r="O210" s="4"/>
      <c r="P210" s="4"/>
      <c r="Q210" s="4"/>
      <c r="R210" s="4"/>
      <c r="S210" s="7"/>
      <c r="T210" s="7"/>
      <c r="U210" s="7"/>
      <c r="V210" s="7"/>
      <c r="W210" s="4"/>
    </row>
    <row r="211" spans="6:23" x14ac:dyDescent="0.25">
      <c r="F211" s="4"/>
      <c r="G211" s="11"/>
      <c r="H211" s="13"/>
      <c r="I211" s="13"/>
      <c r="K211" s="12"/>
      <c r="O211" s="4"/>
      <c r="P211" s="4"/>
      <c r="Q211" s="4"/>
      <c r="R211" s="4"/>
      <c r="S211" s="7"/>
      <c r="T211" s="7"/>
      <c r="U211" s="7"/>
      <c r="V211" s="7"/>
      <c r="W211" s="4"/>
    </row>
    <row r="212" spans="6:23" x14ac:dyDescent="0.25">
      <c r="F212" s="4"/>
      <c r="G212" s="11"/>
      <c r="H212" s="13"/>
      <c r="I212" s="13"/>
      <c r="K212" s="12"/>
      <c r="O212" s="4"/>
      <c r="P212" s="4"/>
      <c r="Q212" s="4"/>
      <c r="R212" s="4"/>
      <c r="S212" s="7"/>
      <c r="T212" s="7"/>
      <c r="U212" s="7"/>
      <c r="V212" s="7"/>
      <c r="W212" s="4"/>
    </row>
    <row r="213" spans="6:23" x14ac:dyDescent="0.25">
      <c r="F213" s="4"/>
      <c r="G213" s="11"/>
      <c r="H213" s="13"/>
      <c r="I213" s="13"/>
      <c r="K213" s="12"/>
      <c r="O213" s="4"/>
      <c r="P213" s="4"/>
      <c r="Q213" s="4"/>
      <c r="R213" s="4"/>
      <c r="S213" s="7"/>
      <c r="T213" s="7"/>
      <c r="U213" s="7"/>
      <c r="V213" s="7"/>
      <c r="W213" s="4"/>
    </row>
    <row r="214" spans="6:23" x14ac:dyDescent="0.25">
      <c r="F214" s="4"/>
      <c r="G214" s="11"/>
      <c r="H214" s="13"/>
      <c r="I214" s="13"/>
      <c r="K214" s="12"/>
      <c r="O214" s="4"/>
      <c r="P214" s="4"/>
      <c r="Q214" s="4"/>
      <c r="R214" s="4"/>
      <c r="S214" s="7"/>
      <c r="T214" s="7"/>
      <c r="U214" s="7"/>
      <c r="V214" s="7"/>
      <c r="W214" s="4"/>
    </row>
    <row r="215" spans="6:23" x14ac:dyDescent="0.25">
      <c r="F215" s="4"/>
      <c r="G215" s="11"/>
      <c r="H215" s="13"/>
      <c r="I215" s="13"/>
      <c r="K215" s="12"/>
      <c r="O215" s="4"/>
      <c r="P215" s="4"/>
      <c r="Q215" s="4"/>
      <c r="R215" s="4"/>
      <c r="S215" s="7"/>
      <c r="T215" s="7"/>
      <c r="U215" s="7"/>
      <c r="V215" s="7"/>
      <c r="W215" s="4"/>
    </row>
    <row r="216" spans="6:23" x14ac:dyDescent="0.25">
      <c r="F216" s="4"/>
      <c r="G216" s="11"/>
      <c r="H216" s="13"/>
      <c r="I216" s="13"/>
      <c r="K216" s="12"/>
      <c r="O216" s="4"/>
      <c r="P216" s="4"/>
      <c r="Q216" s="4"/>
      <c r="R216" s="4"/>
      <c r="S216" s="7"/>
      <c r="T216" s="7"/>
      <c r="U216" s="7"/>
      <c r="V216" s="7"/>
      <c r="W216" s="4"/>
    </row>
    <row r="217" spans="6:23" x14ac:dyDescent="0.25">
      <c r="F217" s="4"/>
      <c r="G217" s="11"/>
      <c r="H217" s="13"/>
      <c r="I217" s="13"/>
      <c r="K217" s="12"/>
      <c r="O217" s="4"/>
      <c r="P217" s="4"/>
      <c r="Q217" s="4"/>
      <c r="R217" s="4"/>
      <c r="S217" s="7"/>
      <c r="T217" s="7"/>
      <c r="U217" s="7"/>
      <c r="V217" s="7"/>
      <c r="W217" s="4"/>
    </row>
    <row r="218" spans="6:23" x14ac:dyDescent="0.25">
      <c r="F218" s="4"/>
      <c r="G218" s="11"/>
      <c r="H218" s="13"/>
      <c r="I218" s="13"/>
      <c r="K218" s="12"/>
      <c r="O218" s="4"/>
      <c r="P218" s="4"/>
      <c r="Q218" s="4"/>
      <c r="R218" s="4"/>
      <c r="S218" s="7"/>
      <c r="T218" s="7"/>
      <c r="U218" s="7"/>
      <c r="V218" s="7"/>
      <c r="W218" s="4"/>
    </row>
    <row r="219" spans="6:23" x14ac:dyDescent="0.25">
      <c r="F219" s="4"/>
      <c r="G219" s="11"/>
      <c r="H219" s="13"/>
      <c r="I219" s="13"/>
      <c r="K219" s="12"/>
      <c r="O219" s="4"/>
      <c r="P219" s="4"/>
      <c r="Q219" s="4"/>
      <c r="R219" s="4"/>
      <c r="S219" s="7"/>
      <c r="T219" s="7"/>
      <c r="U219" s="7"/>
      <c r="V219" s="7"/>
      <c r="W219" s="4"/>
    </row>
    <row r="220" spans="6:23" x14ac:dyDescent="0.25">
      <c r="F220" s="4"/>
      <c r="G220" s="11"/>
      <c r="H220" s="13"/>
      <c r="I220" s="13"/>
      <c r="K220" s="12"/>
      <c r="O220" s="4"/>
      <c r="P220" s="4"/>
      <c r="Q220" s="4"/>
      <c r="R220" s="4"/>
      <c r="S220" s="7"/>
      <c r="T220" s="7"/>
      <c r="U220" s="7"/>
      <c r="V220" s="7"/>
      <c r="W220" s="4"/>
    </row>
    <row r="221" spans="6:23" x14ac:dyDescent="0.25">
      <c r="K221" s="12"/>
    </row>
  </sheetData>
  <dataValidations count="2">
    <dataValidation type="list" allowBlank="1" showInputMessage="1" showErrorMessage="1" sqref="M2:M206">
      <formula1>S_ŠNE</formula1>
    </dataValidation>
    <dataValidation type="list" allowBlank="1" showInputMessage="1" showErrorMessage="1" sqref="N2:N206">
      <formula1>S_sektory_úspory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1"/>
  <sheetViews>
    <sheetView workbookViewId="0">
      <selection activeCell="B1" sqref="B1"/>
    </sheetView>
  </sheetViews>
  <sheetFormatPr defaultRowHeight="15" x14ac:dyDescent="0.25"/>
  <cols>
    <col min="1" max="1" width="72" customWidth="1"/>
  </cols>
  <sheetData>
    <row r="1" spans="1:3" x14ac:dyDescent="0.25">
      <c r="A1" t="s">
        <v>90</v>
      </c>
      <c r="B1" s="9">
        <v>149.36471215298167</v>
      </c>
      <c r="C1" s="10">
        <v>0</v>
      </c>
    </row>
    <row r="2" spans="1:3" x14ac:dyDescent="0.25">
      <c r="A2" t="s">
        <v>91</v>
      </c>
      <c r="B2" s="9">
        <v>547.67061122759947</v>
      </c>
      <c r="C2" s="10">
        <v>0</v>
      </c>
    </row>
    <row r="3" spans="1:3" x14ac:dyDescent="0.25">
      <c r="A3" t="s">
        <v>92</v>
      </c>
      <c r="B3" s="9">
        <v>2.4087428935241473</v>
      </c>
      <c r="C3" s="10">
        <v>0</v>
      </c>
    </row>
    <row r="4" spans="1:3" x14ac:dyDescent="0.25">
      <c r="A4" t="s">
        <v>93</v>
      </c>
      <c r="B4" s="9">
        <v>298.72942430596333</v>
      </c>
      <c r="C4" s="10">
        <v>0</v>
      </c>
    </row>
    <row r="5" spans="1:3" x14ac:dyDescent="0.25">
      <c r="A5" t="s">
        <v>94</v>
      </c>
      <c r="B5" s="9">
        <v>8.8320572762552079</v>
      </c>
      <c r="C5" s="10">
        <v>0</v>
      </c>
    </row>
    <row r="6" spans="1:3" x14ac:dyDescent="0.25">
      <c r="A6" t="s">
        <v>95</v>
      </c>
      <c r="B6" s="9">
        <v>438.24171290481769</v>
      </c>
      <c r="C6" s="10">
        <v>0</v>
      </c>
    </row>
    <row r="7" spans="1:3" x14ac:dyDescent="0.25">
      <c r="A7" t="s">
        <v>96</v>
      </c>
      <c r="B7" s="9">
        <v>4.8174857870482946</v>
      </c>
      <c r="C7" s="10">
        <v>0</v>
      </c>
    </row>
    <row r="8" spans="1:3" x14ac:dyDescent="0.25">
      <c r="A8" t="s">
        <v>97</v>
      </c>
      <c r="B8" s="9">
        <v>66.071009368349962</v>
      </c>
      <c r="C8" s="10">
        <v>0</v>
      </c>
    </row>
    <row r="9" spans="1:3" x14ac:dyDescent="0.25">
      <c r="A9" t="s">
        <v>98</v>
      </c>
      <c r="B9" s="9">
        <v>876.48342580963538</v>
      </c>
      <c r="C9" s="10">
        <v>0.16666666666666663</v>
      </c>
    </row>
    <row r="10" spans="1:3" x14ac:dyDescent="0.25">
      <c r="A10" t="s">
        <v>99</v>
      </c>
      <c r="B10" s="9">
        <v>15.718942653749997</v>
      </c>
      <c r="C10" s="10">
        <v>0</v>
      </c>
    </row>
    <row r="11" spans="1:3" x14ac:dyDescent="0.25">
      <c r="A11" t="s">
        <v>100</v>
      </c>
      <c r="B11" s="9">
        <v>171.61145561699996</v>
      </c>
      <c r="C11" s="10">
        <v>0</v>
      </c>
    </row>
    <row r="12" spans="1:3" x14ac:dyDescent="0.25">
      <c r="A12" t="s">
        <v>101</v>
      </c>
      <c r="B12" s="9">
        <v>1750.8817482612742</v>
      </c>
      <c r="C12" s="10">
        <v>0</v>
      </c>
    </row>
    <row r="13" spans="1:3" x14ac:dyDescent="0.25">
      <c r="A13" t="s">
        <v>102</v>
      </c>
      <c r="B13" s="9">
        <v>31.437885307499993</v>
      </c>
      <c r="C13" s="10">
        <v>0</v>
      </c>
    </row>
    <row r="14" spans="1:3" x14ac:dyDescent="0.25">
      <c r="A14" t="s">
        <v>103</v>
      </c>
      <c r="B14" s="9">
        <v>237.18082531500005</v>
      </c>
      <c r="C14" s="10">
        <v>0</v>
      </c>
    </row>
    <row r="15" spans="1:3" x14ac:dyDescent="0.25">
      <c r="A15" t="s">
        <v>104</v>
      </c>
      <c r="B15" s="9">
        <v>2059.3374674039997</v>
      </c>
      <c r="C15" s="10">
        <v>0.375</v>
      </c>
    </row>
    <row r="16" spans="1:3" x14ac:dyDescent="0.25">
      <c r="A16" t="s">
        <v>105</v>
      </c>
      <c r="B16" s="9">
        <v>675.48243458812328</v>
      </c>
      <c r="C16" s="10">
        <v>0</v>
      </c>
    </row>
    <row r="17" spans="1:3" x14ac:dyDescent="0.25">
      <c r="A17" t="s">
        <v>106</v>
      </c>
      <c r="B17" s="9">
        <v>676.67288781283673</v>
      </c>
      <c r="C17" s="10">
        <v>0</v>
      </c>
    </row>
    <row r="18" spans="1:3" x14ac:dyDescent="0.25">
      <c r="A18" t="s">
        <v>107</v>
      </c>
      <c r="B18" s="9">
        <v>438.24171290481769</v>
      </c>
      <c r="C18" s="10">
        <v>0.5</v>
      </c>
    </row>
    <row r="19" spans="1:3" x14ac:dyDescent="0.25">
      <c r="A19" t="s">
        <v>108</v>
      </c>
      <c r="B19" s="9">
        <v>1486.5977107878741</v>
      </c>
      <c r="C19" s="10">
        <v>0.58333333333333326</v>
      </c>
    </row>
    <row r="20" spans="1:3" x14ac:dyDescent="0.25">
      <c r="A20" t="s">
        <v>109</v>
      </c>
      <c r="B20" s="9">
        <v>48.449304135913941</v>
      </c>
      <c r="C20" s="10">
        <v>0</v>
      </c>
    </row>
    <row r="21" spans="1:3" x14ac:dyDescent="0.25">
      <c r="A21" t="s">
        <v>110</v>
      </c>
      <c r="B21" s="9">
        <v>1155.9311738484164</v>
      </c>
      <c r="C21" s="10">
        <v>0.75</v>
      </c>
    </row>
    <row r="22" spans="1:3" x14ac:dyDescent="0.25">
      <c r="A22" t="s">
        <v>111</v>
      </c>
      <c r="B22" s="9">
        <v>5.8977284396782492</v>
      </c>
      <c r="C22" s="10">
        <v>0</v>
      </c>
    </row>
    <row r="23" spans="1:3" x14ac:dyDescent="0.25">
      <c r="A23" t="s">
        <v>112</v>
      </c>
      <c r="B23" s="9">
        <v>5.3703809215717504</v>
      </c>
      <c r="C23" s="10">
        <v>0</v>
      </c>
    </row>
    <row r="24" spans="1:3" x14ac:dyDescent="0.25">
      <c r="A24" t="s">
        <v>113</v>
      </c>
      <c r="B24" s="9">
        <v>15.718942653749997</v>
      </c>
      <c r="C24" s="10">
        <v>0.2857142857142857</v>
      </c>
    </row>
    <row r="25" spans="1:3" x14ac:dyDescent="0.25">
      <c r="A25" t="s">
        <v>114</v>
      </c>
      <c r="B25" s="9">
        <v>44.975117257874999</v>
      </c>
      <c r="C25" s="10">
        <v>0</v>
      </c>
    </row>
    <row r="26" spans="1:3" x14ac:dyDescent="0.25">
      <c r="A26" t="s">
        <v>115</v>
      </c>
      <c r="B26" s="9">
        <v>304.68776435999996</v>
      </c>
      <c r="C26" s="10">
        <v>0.66666666666666674</v>
      </c>
    </row>
    <row r="27" spans="1:3" x14ac:dyDescent="0.25">
      <c r="A27" t="s">
        <v>116</v>
      </c>
      <c r="B27" s="9">
        <v>1897.4466025200004</v>
      </c>
      <c r="C27" s="10">
        <v>0.16666666666666663</v>
      </c>
    </row>
    <row r="28" spans="1:3" x14ac:dyDescent="0.25">
      <c r="A28" t="s">
        <v>117</v>
      </c>
      <c r="B28" s="9">
        <v>187.69472167275794</v>
      </c>
      <c r="C28" s="10">
        <v>0</v>
      </c>
    </row>
    <row r="29" spans="1:3" x14ac:dyDescent="0.25">
      <c r="A29" t="s">
        <v>118</v>
      </c>
      <c r="B29" s="9">
        <v>2421.8759109287298</v>
      </c>
      <c r="C29" s="10">
        <v>0</v>
      </c>
    </row>
    <row r="30" spans="1:3" x14ac:dyDescent="0.25">
      <c r="A30" t="s">
        <v>119</v>
      </c>
      <c r="B30" s="9">
        <v>1912.9655262087858</v>
      </c>
      <c r="C30" s="10">
        <v>0</v>
      </c>
    </row>
    <row r="31" spans="1:3" x14ac:dyDescent="0.25">
      <c r="A31" t="s">
        <v>120</v>
      </c>
      <c r="B31" s="9">
        <v>78.156664940359875</v>
      </c>
      <c r="C31" s="10">
        <v>0</v>
      </c>
    </row>
    <row r="32" spans="1:3" x14ac:dyDescent="0.25">
      <c r="A32" t="s">
        <v>121</v>
      </c>
      <c r="B32" s="9">
        <v>11.795456879356498</v>
      </c>
      <c r="C32" s="10">
        <v>0</v>
      </c>
    </row>
    <row r="33" spans="1:3" x14ac:dyDescent="0.25">
      <c r="A33" t="s">
        <v>122</v>
      </c>
      <c r="B33" s="9">
        <v>10.740761843143501</v>
      </c>
      <c r="C33" s="10">
        <v>0</v>
      </c>
    </row>
    <row r="34" spans="1:3" x14ac:dyDescent="0.25">
      <c r="A34" t="s">
        <v>123</v>
      </c>
      <c r="B34" s="9">
        <v>2706.6915512513469</v>
      </c>
      <c r="C34" s="10">
        <v>0.16666666666666663</v>
      </c>
    </row>
    <row r="35" spans="1:3" x14ac:dyDescent="0.25">
      <c r="A35" t="s">
        <v>124</v>
      </c>
      <c r="B35" s="9">
        <v>484.4930413591394</v>
      </c>
      <c r="C35" s="10">
        <v>0</v>
      </c>
    </row>
    <row r="36" spans="1:3" x14ac:dyDescent="0.25">
      <c r="A36" t="s">
        <v>125</v>
      </c>
      <c r="B36" s="9">
        <v>449.7511725787499</v>
      </c>
      <c r="C36" s="10">
        <v>0.16666666666666663</v>
      </c>
    </row>
    <row r="37" spans="1:3" x14ac:dyDescent="0.25">
      <c r="A37" t="s">
        <v>126</v>
      </c>
      <c r="B37" s="9">
        <v>1201.2801893189996</v>
      </c>
      <c r="C37" s="10">
        <v>0.83333333333333337</v>
      </c>
    </row>
    <row r="38" spans="1:3" x14ac:dyDescent="0.25">
      <c r="A38" t="s">
        <v>127</v>
      </c>
      <c r="B38" s="9">
        <v>96.375251266874997</v>
      </c>
      <c r="C38" s="10">
        <v>0</v>
      </c>
    </row>
    <row r="39" spans="1:3" x14ac:dyDescent="0.25">
      <c r="A39" t="s">
        <v>128</v>
      </c>
      <c r="B39" s="9">
        <v>213.04002911624997</v>
      </c>
      <c r="C39" s="10">
        <v>0.16666666666666663</v>
      </c>
    </row>
    <row r="40" spans="1:3" x14ac:dyDescent="0.25">
      <c r="A40" t="s">
        <v>129</v>
      </c>
      <c r="B40" s="9">
        <v>5075.0466585962749</v>
      </c>
      <c r="C40" s="10">
        <v>0.5</v>
      </c>
    </row>
    <row r="41" spans="1:3" x14ac:dyDescent="0.25">
      <c r="A41" t="s">
        <v>130</v>
      </c>
      <c r="B41" s="9">
        <v>5.8977284396782492</v>
      </c>
      <c r="C41" s="10">
        <v>0.2857142857142857</v>
      </c>
    </row>
    <row r="42" spans="1:3" x14ac:dyDescent="0.25">
      <c r="A42" t="s">
        <v>131</v>
      </c>
      <c r="B42" s="9">
        <v>5.3703809215717504</v>
      </c>
      <c r="C42" s="10">
        <v>0</v>
      </c>
    </row>
    <row r="43" spans="1:3" x14ac:dyDescent="0.25">
      <c r="A43" t="s">
        <v>132</v>
      </c>
      <c r="B43" s="9">
        <v>2794.1041445103642</v>
      </c>
      <c r="C43" s="10">
        <v>0</v>
      </c>
    </row>
    <row r="44" spans="1:3" x14ac:dyDescent="0.25">
      <c r="A44" t="s">
        <v>133</v>
      </c>
      <c r="B44" s="9">
        <v>5.1293904146066245</v>
      </c>
      <c r="C44" s="10">
        <v>0</v>
      </c>
    </row>
    <row r="45" spans="1:3" x14ac:dyDescent="0.25">
      <c r="A45" t="s">
        <v>134</v>
      </c>
      <c r="B45" s="9">
        <v>5.6881521959071266</v>
      </c>
      <c r="C45" s="10">
        <v>0</v>
      </c>
    </row>
    <row r="46" spans="1:3" x14ac:dyDescent="0.25">
      <c r="A46" t="s">
        <v>135</v>
      </c>
      <c r="B46" s="9">
        <v>2166.8994326070001</v>
      </c>
      <c r="C46" s="10">
        <v>0.58333333333333326</v>
      </c>
    </row>
    <row r="47" spans="1:3" x14ac:dyDescent="0.25">
      <c r="A47" t="s">
        <v>136</v>
      </c>
      <c r="B47" s="9">
        <v>6.1923497759394905</v>
      </c>
      <c r="C47" s="10">
        <v>0.75</v>
      </c>
    </row>
    <row r="48" spans="1:3" x14ac:dyDescent="0.25">
      <c r="A48" t="s">
        <v>137</v>
      </c>
      <c r="B48" s="9">
        <v>271.55629976360638</v>
      </c>
      <c r="C48" s="10">
        <v>0</v>
      </c>
    </row>
    <row r="49" spans="1:3" x14ac:dyDescent="0.25">
      <c r="A49" t="s">
        <v>138</v>
      </c>
      <c r="B49" s="9">
        <v>214.49399514172094</v>
      </c>
      <c r="C49" s="10">
        <v>0</v>
      </c>
    </row>
    <row r="50" spans="1:3" x14ac:dyDescent="0.25">
      <c r="A50" t="s">
        <v>139</v>
      </c>
      <c r="B50" s="9">
        <v>436.04373722322543</v>
      </c>
      <c r="C50" s="10">
        <v>0.375</v>
      </c>
    </row>
    <row r="51" spans="1:3" x14ac:dyDescent="0.25">
      <c r="A51" t="s">
        <v>140</v>
      </c>
      <c r="B51" s="9">
        <v>519.46186949465391</v>
      </c>
      <c r="C51" s="10">
        <v>0.9</v>
      </c>
    </row>
    <row r="52" spans="1:3" x14ac:dyDescent="0.25">
      <c r="A52" t="s">
        <v>141</v>
      </c>
      <c r="B52" s="9">
        <v>2610.3264184577356</v>
      </c>
      <c r="C52" s="10">
        <v>0</v>
      </c>
    </row>
    <row r="53" spans="1:3" x14ac:dyDescent="0.25">
      <c r="A53" t="s">
        <v>142</v>
      </c>
      <c r="B53" s="9">
        <v>2553.9441585721875</v>
      </c>
      <c r="C53" s="10">
        <v>0.44444444444444442</v>
      </c>
    </row>
    <row r="54" spans="1:3" x14ac:dyDescent="0.25">
      <c r="A54" t="s">
        <v>143</v>
      </c>
      <c r="B54" s="9">
        <v>994.18680254249978</v>
      </c>
      <c r="C54" s="10">
        <v>0.58333333333333326</v>
      </c>
    </row>
    <row r="55" spans="1:3" x14ac:dyDescent="0.25">
      <c r="A55" t="s">
        <v>144</v>
      </c>
      <c r="B55" s="9">
        <v>51.293904146066239</v>
      </c>
      <c r="C55" s="10">
        <v>0</v>
      </c>
    </row>
    <row r="56" spans="1:3" x14ac:dyDescent="0.25">
      <c r="A56" t="s">
        <v>145</v>
      </c>
      <c r="B56" s="9">
        <v>56.881521959071264</v>
      </c>
      <c r="C56" s="10">
        <v>0</v>
      </c>
    </row>
    <row r="57" spans="1:3" x14ac:dyDescent="0.25">
      <c r="A57" t="s">
        <v>146</v>
      </c>
      <c r="B57" s="9">
        <v>27.791264277569333</v>
      </c>
      <c r="C57" s="10">
        <v>0</v>
      </c>
    </row>
    <row r="58" spans="1:3" x14ac:dyDescent="0.25">
      <c r="A58" t="s">
        <v>147</v>
      </c>
      <c r="B58" s="9">
        <v>34.068110240241566</v>
      </c>
      <c r="C58" s="10">
        <v>0</v>
      </c>
    </row>
    <row r="59" spans="1:3" x14ac:dyDescent="0.25">
      <c r="A59" t="s">
        <v>148</v>
      </c>
      <c r="B59" s="9">
        <v>47.458723353006597</v>
      </c>
      <c r="C59" s="10">
        <v>0</v>
      </c>
    </row>
    <row r="60" spans="1:3" x14ac:dyDescent="0.25">
      <c r="A60" t="s">
        <v>149</v>
      </c>
      <c r="B60" s="9">
        <v>2608.9890784650001</v>
      </c>
      <c r="C60" s="10">
        <v>0.5</v>
      </c>
    </row>
    <row r="61" spans="1:3" x14ac:dyDescent="0.25">
      <c r="A61" t="s">
        <v>150</v>
      </c>
      <c r="B61" s="9">
        <v>448.00887951166322</v>
      </c>
      <c r="C61" s="10">
        <v>0</v>
      </c>
    </row>
    <row r="62" spans="1:3" x14ac:dyDescent="0.25">
      <c r="A62" t="s">
        <v>151</v>
      </c>
      <c r="B62" s="9">
        <v>340.63096982901129</v>
      </c>
      <c r="C62" s="10">
        <v>0.5</v>
      </c>
    </row>
    <row r="63" spans="1:3" x14ac:dyDescent="0.25">
      <c r="A63" t="s">
        <v>152</v>
      </c>
      <c r="B63" s="9">
        <v>4333.7988652140002</v>
      </c>
      <c r="C63" s="10">
        <v>0.75</v>
      </c>
    </row>
    <row r="64" spans="1:3" x14ac:dyDescent="0.25">
      <c r="A64" t="s">
        <v>153</v>
      </c>
      <c r="B64" s="9">
        <v>3.2155869926290603</v>
      </c>
      <c r="C64" s="10">
        <v>0</v>
      </c>
    </row>
    <row r="65" spans="1:3" x14ac:dyDescent="0.25">
      <c r="A65" t="s">
        <v>154</v>
      </c>
      <c r="B65" s="9">
        <v>543.11259952721275</v>
      </c>
      <c r="C65" s="10">
        <v>0.16666666666666663</v>
      </c>
    </row>
    <row r="66" spans="1:3" x14ac:dyDescent="0.25">
      <c r="A66" t="s">
        <v>155</v>
      </c>
      <c r="B66" s="9">
        <v>428.98799028344189</v>
      </c>
      <c r="C66" s="10">
        <v>0</v>
      </c>
    </row>
    <row r="67" spans="1:3" x14ac:dyDescent="0.25">
      <c r="A67" t="s">
        <v>156</v>
      </c>
      <c r="B67" s="9">
        <v>16.110087694704553</v>
      </c>
      <c r="C67" s="10">
        <v>0.66666666666666674</v>
      </c>
    </row>
    <row r="68" spans="1:3" x14ac:dyDescent="0.25">
      <c r="A68" t="s">
        <v>157</v>
      </c>
      <c r="B68" s="9">
        <v>2.1717197168824591</v>
      </c>
      <c r="C68" s="10">
        <v>0.5</v>
      </c>
    </row>
    <row r="69" spans="1:3" x14ac:dyDescent="0.25">
      <c r="A69" t="s">
        <v>158</v>
      </c>
      <c r="B69" s="9">
        <v>46.164513731459614</v>
      </c>
      <c r="C69" s="10">
        <v>0.375</v>
      </c>
    </row>
    <row r="70" spans="1:3" x14ac:dyDescent="0.25">
      <c r="A70" t="s">
        <v>159</v>
      </c>
      <c r="B70" s="9">
        <v>51.193369763164128</v>
      </c>
      <c r="C70" s="10">
        <v>0</v>
      </c>
    </row>
    <row r="71" spans="1:3" x14ac:dyDescent="0.25">
      <c r="A71" t="s">
        <v>160</v>
      </c>
      <c r="B71" s="9">
        <v>1691.058419035352</v>
      </c>
      <c r="C71" s="10">
        <v>0</v>
      </c>
    </row>
    <row r="72" spans="1:3" x14ac:dyDescent="0.25">
      <c r="A72" t="s">
        <v>161</v>
      </c>
      <c r="B72" s="9">
        <v>22.07048292313706</v>
      </c>
      <c r="C72" s="10">
        <v>0</v>
      </c>
    </row>
    <row r="73" spans="1:3" x14ac:dyDescent="0.25">
      <c r="A73" t="s">
        <v>162</v>
      </c>
      <c r="B73" s="9">
        <v>30.745378476531286</v>
      </c>
      <c r="C73" s="10">
        <v>0</v>
      </c>
    </row>
    <row r="74" spans="1:3" x14ac:dyDescent="0.25">
      <c r="A74" t="s">
        <v>163</v>
      </c>
      <c r="B74" s="9">
        <v>1.7601358604133699</v>
      </c>
      <c r="C74" s="10">
        <v>0.16666666666666663</v>
      </c>
    </row>
    <row r="75" spans="1:3" x14ac:dyDescent="0.25">
      <c r="A75" t="s">
        <v>164</v>
      </c>
      <c r="B75" s="9">
        <v>416.86896416353994</v>
      </c>
      <c r="C75" s="10">
        <v>0.2857142857142857</v>
      </c>
    </row>
    <row r="76" spans="1:3" x14ac:dyDescent="0.25">
      <c r="A76" t="s">
        <v>165</v>
      </c>
      <c r="B76" s="9">
        <v>409.66679917800008</v>
      </c>
      <c r="C76" s="10">
        <v>0.2857142857142857</v>
      </c>
    </row>
    <row r="77" spans="1:3" x14ac:dyDescent="0.25">
      <c r="A77" t="s">
        <v>166</v>
      </c>
      <c r="B77" s="9">
        <v>2.782769133619845</v>
      </c>
      <c r="C77" s="10">
        <v>0.9</v>
      </c>
    </row>
    <row r="78" spans="1:3" x14ac:dyDescent="0.25">
      <c r="A78" t="s">
        <v>167</v>
      </c>
      <c r="B78" s="9">
        <v>896.01775902332645</v>
      </c>
      <c r="C78" s="10">
        <v>0</v>
      </c>
    </row>
    <row r="79" spans="1:3" x14ac:dyDescent="0.25">
      <c r="A79" t="s">
        <v>168</v>
      </c>
      <c r="B79" s="9">
        <v>4768.8335776061576</v>
      </c>
      <c r="C79" s="10">
        <v>0.73684210526315796</v>
      </c>
    </row>
    <row r="80" spans="1:3" x14ac:dyDescent="0.25">
      <c r="A80" t="s">
        <v>169</v>
      </c>
      <c r="B80" s="9">
        <v>246.48875867070001</v>
      </c>
      <c r="C80" s="10">
        <v>0.58333333333333326</v>
      </c>
    </row>
    <row r="81" spans="1:3" x14ac:dyDescent="0.25">
      <c r="A81" t="s">
        <v>170</v>
      </c>
      <c r="B81" s="9">
        <v>1543.8052029936464</v>
      </c>
      <c r="C81" s="10">
        <v>0.58333333333333326</v>
      </c>
    </row>
    <row r="82" spans="1:3" x14ac:dyDescent="0.25">
      <c r="A82" t="s">
        <v>171</v>
      </c>
      <c r="B82" s="9">
        <v>2633.8109316834671</v>
      </c>
      <c r="C82" s="10">
        <v>0</v>
      </c>
    </row>
    <row r="83" spans="1:3" x14ac:dyDescent="0.25">
      <c r="A83" t="s">
        <v>172</v>
      </c>
      <c r="B83" s="9">
        <v>404.77605532087495</v>
      </c>
      <c r="C83" s="10">
        <v>0.58333333333333326</v>
      </c>
    </row>
    <row r="84" spans="1:3" x14ac:dyDescent="0.25">
      <c r="A84" t="s">
        <v>173</v>
      </c>
      <c r="B84" s="9">
        <v>271.55629976360638</v>
      </c>
      <c r="C84" s="10">
        <v>0.5</v>
      </c>
    </row>
    <row r="85" spans="1:3" x14ac:dyDescent="0.25">
      <c r="A85" t="s">
        <v>174</v>
      </c>
      <c r="B85" s="9">
        <v>214.49399514172094</v>
      </c>
      <c r="C85" s="10">
        <v>0</v>
      </c>
    </row>
    <row r="86" spans="1:3" x14ac:dyDescent="0.25">
      <c r="A86" t="s">
        <v>175</v>
      </c>
      <c r="B86" s="9">
        <v>9552.4596268920031</v>
      </c>
      <c r="C86" s="10">
        <v>0</v>
      </c>
    </row>
    <row r="87" spans="1:3" x14ac:dyDescent="0.25">
      <c r="A87" t="s">
        <v>176</v>
      </c>
      <c r="B87" s="9">
        <v>187.2801545541048</v>
      </c>
      <c r="C87" s="10">
        <v>0.64285714285714279</v>
      </c>
    </row>
    <row r="88" spans="1:3" x14ac:dyDescent="0.25">
      <c r="A88" t="s">
        <v>177</v>
      </c>
      <c r="B88" s="9">
        <v>242.55724400936722</v>
      </c>
      <c r="C88" s="10">
        <v>0.1428571428571429</v>
      </c>
    </row>
    <row r="89" spans="1:3" x14ac:dyDescent="0.25">
      <c r="A89" t="s">
        <v>178</v>
      </c>
      <c r="B89" s="9">
        <v>53.70029231568185</v>
      </c>
      <c r="C89" s="10">
        <v>0.8</v>
      </c>
    </row>
    <row r="90" spans="1:3" x14ac:dyDescent="0.25">
      <c r="A90" t="s">
        <v>179</v>
      </c>
      <c r="B90" s="9">
        <v>2166.8994326070001</v>
      </c>
      <c r="C90" s="10">
        <v>0.875</v>
      </c>
    </row>
    <row r="91" spans="1:3" x14ac:dyDescent="0.25">
      <c r="A91" t="s">
        <v>180</v>
      </c>
      <c r="B91" s="9">
        <v>434.98670656965402</v>
      </c>
      <c r="C91" s="10">
        <v>0.44444444444444442</v>
      </c>
    </row>
    <row r="92" spans="1:3" x14ac:dyDescent="0.25">
      <c r="A92" t="s">
        <v>181</v>
      </c>
      <c r="B92" s="9">
        <v>343.58266262607543</v>
      </c>
      <c r="C92" s="10">
        <v>0</v>
      </c>
    </row>
    <row r="93" spans="1:3" x14ac:dyDescent="0.25">
      <c r="A93" t="s">
        <v>182</v>
      </c>
      <c r="B93" s="9">
        <v>10004.022201599995</v>
      </c>
      <c r="C93" s="10">
        <v>0.4565217391304347</v>
      </c>
    </row>
    <row r="94" spans="1:3" x14ac:dyDescent="0.25">
      <c r="A94" t="s">
        <v>183</v>
      </c>
      <c r="B94" s="9">
        <v>492.97751734140002</v>
      </c>
      <c r="C94" s="10">
        <v>0.75</v>
      </c>
    </row>
    <row r="95" spans="1:3" x14ac:dyDescent="0.25">
      <c r="A95" t="s">
        <v>184</v>
      </c>
      <c r="B95" s="9">
        <v>3087.6104059872928</v>
      </c>
      <c r="C95" s="10">
        <v>0.75</v>
      </c>
    </row>
    <row r="96" spans="1:3" x14ac:dyDescent="0.25">
      <c r="A96" t="s">
        <v>185</v>
      </c>
      <c r="B96" s="9">
        <v>5267.6218633669341</v>
      </c>
      <c r="C96" s="10">
        <v>0.4</v>
      </c>
    </row>
    <row r="97" spans="1:3" x14ac:dyDescent="0.25">
      <c r="A97" t="s">
        <v>186</v>
      </c>
      <c r="B97" s="9">
        <v>701.23667592495815</v>
      </c>
      <c r="C97" s="10">
        <v>0.1428571428571429</v>
      </c>
    </row>
    <row r="98" spans="1:3" x14ac:dyDescent="0.25">
      <c r="A98" t="s">
        <v>187</v>
      </c>
      <c r="B98" s="9">
        <v>19104.919253784006</v>
      </c>
      <c r="C98" s="10">
        <v>0.4</v>
      </c>
    </row>
    <row r="99" spans="1:3" x14ac:dyDescent="0.25">
      <c r="A99" t="s">
        <v>188</v>
      </c>
      <c r="B99" s="9">
        <v>374.56030910820959</v>
      </c>
      <c r="C99" s="10">
        <v>0.79166666666666663</v>
      </c>
    </row>
    <row r="100" spans="1:3" x14ac:dyDescent="0.25">
      <c r="A100" t="s">
        <v>189</v>
      </c>
      <c r="B100" s="9">
        <v>485.11448801873445</v>
      </c>
      <c r="C100" s="10">
        <v>0.5</v>
      </c>
    </row>
    <row r="101" spans="1:3" x14ac:dyDescent="0.25">
      <c r="A101" t="s">
        <v>190</v>
      </c>
      <c r="B101" s="9">
        <v>3071.2707878178194</v>
      </c>
      <c r="C101" s="10">
        <v>0</v>
      </c>
    </row>
    <row r="102" spans="1:3" x14ac:dyDescent="0.25">
      <c r="A102" t="s">
        <v>191</v>
      </c>
      <c r="B102" s="9">
        <v>914.06329307999988</v>
      </c>
      <c r="C102" s="10">
        <v>0.88888888888888884</v>
      </c>
    </row>
    <row r="103" spans="1:3" x14ac:dyDescent="0.25">
      <c r="A103" t="s">
        <v>192</v>
      </c>
      <c r="B103" s="9">
        <v>145.38051389925002</v>
      </c>
      <c r="C103" s="10">
        <v>0</v>
      </c>
    </row>
    <row r="104" spans="1:3" x14ac:dyDescent="0.25">
      <c r="A104" t="s">
        <v>193</v>
      </c>
      <c r="B104" s="9">
        <v>2168.4431535046874</v>
      </c>
      <c r="C104" s="10">
        <v>0.66666666666666674</v>
      </c>
    </row>
    <row r="105" spans="1:3" x14ac:dyDescent="0.25">
      <c r="A105" t="s">
        <v>194</v>
      </c>
      <c r="B105" s="9">
        <v>213.04002911624997</v>
      </c>
      <c r="C105" s="10">
        <v>0.64285714285714279</v>
      </c>
    </row>
    <row r="106" spans="1:3" x14ac:dyDescent="0.25">
      <c r="A106" t="s">
        <v>195</v>
      </c>
      <c r="B106" s="9">
        <v>1402.4733518499163</v>
      </c>
      <c r="C106" s="10">
        <v>0.5</v>
      </c>
    </row>
    <row r="107" spans="1:3" x14ac:dyDescent="0.25">
      <c r="A107" t="s">
        <v>196</v>
      </c>
      <c r="B107" s="9">
        <v>15.977513865034682</v>
      </c>
      <c r="C107" s="10">
        <v>0.66666666666666674</v>
      </c>
    </row>
    <row r="108" spans="1:3" x14ac:dyDescent="0.25">
      <c r="A108" t="s">
        <v>197</v>
      </c>
      <c r="B108" s="9">
        <v>67.941963484305958</v>
      </c>
      <c r="C108" s="10">
        <v>0.66666666666666674</v>
      </c>
    </row>
    <row r="109" spans="1:3" x14ac:dyDescent="0.25">
      <c r="A109" t="s">
        <v>198</v>
      </c>
      <c r="B109" s="9">
        <v>66.516682277119017</v>
      </c>
      <c r="C109" s="10">
        <v>0.19999999999999996</v>
      </c>
    </row>
    <row r="110" spans="1:3" x14ac:dyDescent="0.25">
      <c r="A110" t="s">
        <v>199</v>
      </c>
      <c r="B110" s="9">
        <v>1.4436093896194511</v>
      </c>
      <c r="C110" s="10">
        <v>0.66666666666666674</v>
      </c>
    </row>
    <row r="111" spans="1:3" x14ac:dyDescent="0.25">
      <c r="A111" t="s">
        <v>200</v>
      </c>
      <c r="B111" s="9">
        <v>7.722293499301828</v>
      </c>
      <c r="C111" s="10">
        <v>0</v>
      </c>
    </row>
    <row r="112" spans="1:3" x14ac:dyDescent="0.25">
      <c r="A112" t="s">
        <v>201</v>
      </c>
      <c r="B112" s="9">
        <v>99.642847898983291</v>
      </c>
      <c r="C112" s="10">
        <v>0</v>
      </c>
    </row>
    <row r="113" spans="1:3" x14ac:dyDescent="0.25">
      <c r="A113" t="s">
        <v>202</v>
      </c>
      <c r="B113" s="9">
        <v>78.704830459676629</v>
      </c>
      <c r="C113" s="10">
        <v>0</v>
      </c>
    </row>
    <row r="114" spans="1:3" x14ac:dyDescent="0.25">
      <c r="A114" t="s">
        <v>203</v>
      </c>
      <c r="B114" s="9">
        <v>246.48875867070001</v>
      </c>
      <c r="C114" s="10">
        <v>0.875</v>
      </c>
    </row>
    <row r="115" spans="1:3" x14ac:dyDescent="0.25">
      <c r="A115" t="s">
        <v>204</v>
      </c>
      <c r="B115" s="9">
        <v>1543.8052029936464</v>
      </c>
      <c r="C115" s="10">
        <v>0.875</v>
      </c>
    </row>
    <row r="116" spans="1:3" x14ac:dyDescent="0.25">
      <c r="A116" t="s">
        <v>205</v>
      </c>
      <c r="B116" s="9">
        <v>2633.8109316834671</v>
      </c>
      <c r="C116" s="10">
        <v>0.7</v>
      </c>
    </row>
    <row r="117" spans="1:3" x14ac:dyDescent="0.25">
      <c r="A117" t="s">
        <v>206</v>
      </c>
      <c r="B117" s="9">
        <v>610.39293778101705</v>
      </c>
      <c r="C117" s="10">
        <v>0.19999999999999996</v>
      </c>
    </row>
    <row r="118" spans="1:3" x14ac:dyDescent="0.25">
      <c r="A118" t="s">
        <v>207</v>
      </c>
      <c r="B118" s="9">
        <v>448.00887951166322</v>
      </c>
      <c r="C118" s="10">
        <v>0</v>
      </c>
    </row>
    <row r="119" spans="1:3" x14ac:dyDescent="0.25">
      <c r="A119" t="s">
        <v>208</v>
      </c>
      <c r="B119" s="9">
        <v>4.3461886042448885</v>
      </c>
      <c r="C119" s="10">
        <v>0.5</v>
      </c>
    </row>
    <row r="120" spans="1:3" x14ac:dyDescent="0.25">
      <c r="A120" t="s">
        <v>209</v>
      </c>
      <c r="B120" s="9">
        <v>105.92898442855042</v>
      </c>
      <c r="C120" s="10">
        <v>0.5</v>
      </c>
    </row>
    <row r="121" spans="1:3" x14ac:dyDescent="0.25">
      <c r="A121" t="s">
        <v>210</v>
      </c>
      <c r="B121" s="9">
        <v>83.670056968532847</v>
      </c>
      <c r="C121" s="10">
        <v>0</v>
      </c>
    </row>
    <row r="122" spans="1:3" x14ac:dyDescent="0.25">
      <c r="A122" t="s">
        <v>211</v>
      </c>
      <c r="B122" s="9">
        <v>37.590204620977289</v>
      </c>
      <c r="C122" s="10">
        <v>0.8214285714285714</v>
      </c>
    </row>
    <row r="123" spans="1:3" x14ac:dyDescent="0.25">
      <c r="A123" t="s">
        <v>212</v>
      </c>
      <c r="B123" s="9">
        <v>680.59916347499995</v>
      </c>
      <c r="C123" s="10">
        <v>0.4</v>
      </c>
    </row>
    <row r="124" spans="1:3" x14ac:dyDescent="0.25">
      <c r="A124" t="s">
        <v>213</v>
      </c>
      <c r="B124" s="9">
        <v>227.25885691417855</v>
      </c>
      <c r="C124" s="10">
        <v>0.16666666666666663</v>
      </c>
    </row>
    <row r="125" spans="1:3" x14ac:dyDescent="0.25">
      <c r="A125" t="s">
        <v>214</v>
      </c>
      <c r="B125" s="9">
        <v>179.50480321501166</v>
      </c>
      <c r="C125" s="10">
        <v>0</v>
      </c>
    </row>
    <row r="126" spans="1:3" x14ac:dyDescent="0.25">
      <c r="A126" t="s">
        <v>215</v>
      </c>
      <c r="B126" s="9">
        <v>53.258379550115606</v>
      </c>
      <c r="C126" s="10">
        <v>0.8</v>
      </c>
    </row>
    <row r="127" spans="1:3" x14ac:dyDescent="0.25">
      <c r="A127" t="s">
        <v>216</v>
      </c>
      <c r="B127" s="9">
        <v>226.4732116143532</v>
      </c>
      <c r="C127" s="10">
        <v>0.8</v>
      </c>
    </row>
    <row r="128" spans="1:3" x14ac:dyDescent="0.25">
      <c r="A128" t="s">
        <v>217</v>
      </c>
      <c r="B128" s="9">
        <v>221.72227425706339</v>
      </c>
      <c r="C128" s="10">
        <v>0.52</v>
      </c>
    </row>
    <row r="129" spans="1:3" x14ac:dyDescent="0.25">
      <c r="A129" t="s">
        <v>218</v>
      </c>
      <c r="B129" s="9">
        <v>304.68776435999996</v>
      </c>
      <c r="C129" s="10">
        <v>0.91666666666666663</v>
      </c>
    </row>
    <row r="130" spans="1:3" x14ac:dyDescent="0.25">
      <c r="A130" t="s">
        <v>219</v>
      </c>
      <c r="B130" s="9">
        <v>114.95737375685806</v>
      </c>
      <c r="C130" s="10">
        <v>0</v>
      </c>
    </row>
    <row r="131" spans="1:3" x14ac:dyDescent="0.25">
      <c r="A131" t="s">
        <v>220</v>
      </c>
      <c r="B131" s="9">
        <v>535.3660342792989</v>
      </c>
      <c r="C131" s="10">
        <v>0.52</v>
      </c>
    </row>
    <row r="132" spans="1:3" x14ac:dyDescent="0.25">
      <c r="A132" t="s">
        <v>221</v>
      </c>
      <c r="B132" s="9">
        <v>9552.4596268920031</v>
      </c>
      <c r="C132" s="10">
        <v>0.7</v>
      </c>
    </row>
    <row r="133" spans="1:3" x14ac:dyDescent="0.25">
      <c r="A133" t="s">
        <v>222</v>
      </c>
      <c r="B133" s="9">
        <v>1163.0441111940002</v>
      </c>
      <c r="C133" s="10">
        <v>0.25</v>
      </c>
    </row>
    <row r="134" spans="1:3" x14ac:dyDescent="0.25">
      <c r="A134" t="s">
        <v>223</v>
      </c>
      <c r="B134" s="9">
        <v>2034.6431259367237</v>
      </c>
      <c r="C134" s="10">
        <v>0.52</v>
      </c>
    </row>
    <row r="135" spans="1:3" x14ac:dyDescent="0.25">
      <c r="A135" t="s">
        <v>224</v>
      </c>
      <c r="B135" s="9">
        <v>184.82412798730655</v>
      </c>
      <c r="C135" s="10">
        <v>0</v>
      </c>
    </row>
    <row r="136" spans="1:3" x14ac:dyDescent="0.25">
      <c r="A136" t="s">
        <v>225</v>
      </c>
      <c r="B136" s="9">
        <v>1105.3551316500002</v>
      </c>
      <c r="C136" s="10">
        <v>0.59677419354838712</v>
      </c>
    </row>
    <row r="137" spans="1:3" x14ac:dyDescent="0.25">
      <c r="A137" t="s">
        <v>226</v>
      </c>
      <c r="B137" s="9">
        <v>16580.326974750002</v>
      </c>
      <c r="C137" s="10">
        <v>0.59677419354838712</v>
      </c>
    </row>
    <row r="138" spans="1:3" x14ac:dyDescent="0.25">
      <c r="A138" t="s">
        <v>227</v>
      </c>
      <c r="B138" s="9">
        <v>4421.4205266000008</v>
      </c>
      <c r="C138" s="10">
        <v>0.59677419354838712</v>
      </c>
    </row>
    <row r="139" spans="1:3" x14ac:dyDescent="0.25">
      <c r="A139" t="s">
        <v>228</v>
      </c>
      <c r="B139" s="9">
        <v>4.8120312987315046</v>
      </c>
      <c r="C139" s="10">
        <v>0.8</v>
      </c>
    </row>
    <row r="140" spans="1:3" x14ac:dyDescent="0.25">
      <c r="A140" t="s">
        <v>229</v>
      </c>
      <c r="B140" s="9">
        <v>356.31243293910507</v>
      </c>
      <c r="C140" s="10">
        <v>0</v>
      </c>
    </row>
    <row r="141" spans="1:3" x14ac:dyDescent="0.25">
      <c r="A141" t="s">
        <v>230</v>
      </c>
      <c r="B141" s="9">
        <v>1361.1983269499999</v>
      </c>
      <c r="C141" s="10">
        <v>0.53846153846153844</v>
      </c>
    </row>
    <row r="142" spans="1:3" x14ac:dyDescent="0.25">
      <c r="A142" t="s">
        <v>231</v>
      </c>
      <c r="B142" s="9">
        <v>115.83440248952741</v>
      </c>
      <c r="C142" s="10">
        <v>0.2857142857142857</v>
      </c>
    </row>
    <row r="143" spans="1:3" x14ac:dyDescent="0.25">
      <c r="A143" t="s">
        <v>232</v>
      </c>
      <c r="B143" s="9">
        <v>111.16505711027733</v>
      </c>
      <c r="C143" s="10">
        <v>0.66666666666666674</v>
      </c>
    </row>
    <row r="144" spans="1:3" x14ac:dyDescent="0.25">
      <c r="A144" t="s">
        <v>233</v>
      </c>
      <c r="B144" s="9">
        <v>1494.6427184847494</v>
      </c>
      <c r="C144" s="10">
        <v>0.2857142857142857</v>
      </c>
    </row>
    <row r="145" spans="1:3" x14ac:dyDescent="0.25">
      <c r="A145" t="s">
        <v>234</v>
      </c>
      <c r="B145" s="9">
        <v>1180.5724568951493</v>
      </c>
      <c r="C145" s="10">
        <v>0</v>
      </c>
    </row>
    <row r="146" spans="1:3" x14ac:dyDescent="0.25">
      <c r="A146" t="s">
        <v>235</v>
      </c>
      <c r="B146" s="9">
        <v>48.233804889435909</v>
      </c>
      <c r="C146" s="10">
        <v>0.2857142857142857</v>
      </c>
    </row>
    <row r="147" spans="1:3" x14ac:dyDescent="0.25">
      <c r="A147" t="s">
        <v>236</v>
      </c>
      <c r="B147" s="9">
        <v>3747.5622399550912</v>
      </c>
      <c r="C147" s="10">
        <v>0.65714285714285714</v>
      </c>
    </row>
    <row r="148" spans="1:3" x14ac:dyDescent="0.25">
      <c r="A148" t="s">
        <v>237</v>
      </c>
      <c r="B148" s="9">
        <v>60.846640459428421</v>
      </c>
      <c r="C148" s="10">
        <v>0.73684210526315796</v>
      </c>
    </row>
    <row r="149" spans="1:3" x14ac:dyDescent="0.25">
      <c r="A149" t="s">
        <v>238</v>
      </c>
      <c r="B149" s="9">
        <v>1703.1548491450565</v>
      </c>
      <c r="C149" s="10">
        <v>0.8214285714285714</v>
      </c>
    </row>
    <row r="150" spans="1:3" x14ac:dyDescent="0.25">
      <c r="A150" t="s">
        <v>239</v>
      </c>
      <c r="B150" s="9">
        <v>1483.0057819997055</v>
      </c>
      <c r="C150" s="10">
        <v>0.73684210526315796</v>
      </c>
    </row>
    <row r="151" spans="1:3" x14ac:dyDescent="0.25">
      <c r="A151" t="s">
        <v>240</v>
      </c>
      <c r="B151" s="9">
        <v>1171.38079755946</v>
      </c>
      <c r="C151" s="10">
        <v>0.36842105263157898</v>
      </c>
    </row>
    <row r="152" spans="1:3" x14ac:dyDescent="0.25">
      <c r="A152" t="s">
        <v>241</v>
      </c>
      <c r="B152" s="9">
        <v>30.404076036354422</v>
      </c>
      <c r="C152" s="10">
        <v>0.73684210526315796</v>
      </c>
    </row>
    <row r="153" spans="1:3" x14ac:dyDescent="0.25">
      <c r="A153" t="s">
        <v>242</v>
      </c>
      <c r="B153" s="9">
        <v>1060.5413322661666</v>
      </c>
      <c r="C153" s="10">
        <v>0.66666666666666674</v>
      </c>
    </row>
    <row r="154" spans="1:3" x14ac:dyDescent="0.25">
      <c r="A154" t="s">
        <v>243</v>
      </c>
      <c r="B154" s="9">
        <v>837.68908167005429</v>
      </c>
      <c r="C154" s="10">
        <v>0.19999999999999996</v>
      </c>
    </row>
    <row r="155" spans="1:3" x14ac:dyDescent="0.25">
      <c r="A155" t="s">
        <v>244</v>
      </c>
      <c r="B155" s="9">
        <v>8.2139673485957267</v>
      </c>
      <c r="C155" s="10">
        <v>0.66666666666666674</v>
      </c>
    </row>
    <row r="156" spans="1:3" x14ac:dyDescent="0.25">
      <c r="A156" t="s">
        <v>245</v>
      </c>
      <c r="B156" s="9">
        <v>37.280865685080926</v>
      </c>
      <c r="C156" s="10">
        <v>0.8214285714285714</v>
      </c>
    </row>
    <row r="157" spans="1:3" x14ac:dyDescent="0.25">
      <c r="A157" t="s">
        <v>246</v>
      </c>
      <c r="B157" s="9">
        <v>158.53124813004723</v>
      </c>
      <c r="C157" s="10">
        <v>0.8214285714285714</v>
      </c>
    </row>
    <row r="158" spans="1:3" x14ac:dyDescent="0.25">
      <c r="A158" t="s">
        <v>247</v>
      </c>
      <c r="B158" s="9">
        <v>155.20559197994439</v>
      </c>
      <c r="C158" s="10">
        <v>0.5714285714285714</v>
      </c>
    </row>
    <row r="159" spans="1:3" x14ac:dyDescent="0.25">
      <c r="A159" t="s">
        <v>248</v>
      </c>
      <c r="B159" s="9">
        <v>145.38051389925002</v>
      </c>
      <c r="C159" s="10">
        <v>0.6</v>
      </c>
    </row>
    <row r="160" spans="1:3" x14ac:dyDescent="0.25">
      <c r="A160" t="s">
        <v>249</v>
      </c>
      <c r="B160" s="9">
        <v>187.2801545541048</v>
      </c>
      <c r="C160" s="10">
        <v>0.84375</v>
      </c>
    </row>
    <row r="161" spans="1:3" x14ac:dyDescent="0.25">
      <c r="A161" t="s">
        <v>250</v>
      </c>
      <c r="B161" s="9">
        <v>242.55724400936722</v>
      </c>
      <c r="C161" s="10">
        <v>0.625</v>
      </c>
    </row>
    <row r="162" spans="1:3" x14ac:dyDescent="0.25">
      <c r="A162" t="s">
        <v>251</v>
      </c>
      <c r="B162" s="9">
        <v>701.23667592495815</v>
      </c>
      <c r="C162" s="10">
        <v>0.625</v>
      </c>
    </row>
    <row r="163" spans="1:3" x14ac:dyDescent="0.25">
      <c r="A163" t="s">
        <v>252</v>
      </c>
      <c r="B163" s="9">
        <v>1724.3606063528709</v>
      </c>
      <c r="C163" s="10">
        <v>0</v>
      </c>
    </row>
    <row r="164" spans="1:3" x14ac:dyDescent="0.25">
      <c r="A164" t="s">
        <v>253</v>
      </c>
      <c r="B164" s="9">
        <v>3.3684219091120524</v>
      </c>
      <c r="C164" s="10">
        <v>0.8214285714285714</v>
      </c>
    </row>
    <row r="165" spans="1:3" x14ac:dyDescent="0.25">
      <c r="A165" t="s">
        <v>254</v>
      </c>
      <c r="B165" s="9">
        <v>2587.5377918222921</v>
      </c>
      <c r="C165" s="10">
        <v>0.36842105263157898</v>
      </c>
    </row>
    <row r="166" spans="1:3" x14ac:dyDescent="0.25">
      <c r="A166" t="s">
        <v>255</v>
      </c>
      <c r="B166" s="9">
        <v>30.889173997207312</v>
      </c>
      <c r="C166" s="10">
        <v>0.66666666666666674</v>
      </c>
    </row>
    <row r="167" spans="1:3" x14ac:dyDescent="0.25">
      <c r="A167" t="s">
        <v>256</v>
      </c>
      <c r="B167" s="9">
        <v>398.57139159593316</v>
      </c>
      <c r="C167" s="10">
        <v>0.66666666666666674</v>
      </c>
    </row>
    <row r="168" spans="1:3" x14ac:dyDescent="0.25">
      <c r="A168" t="s">
        <v>257</v>
      </c>
      <c r="B168" s="9">
        <v>314.81932183870651</v>
      </c>
      <c r="C168" s="10">
        <v>0.19999999999999996</v>
      </c>
    </row>
    <row r="169" spans="1:3" x14ac:dyDescent="0.25">
      <c r="A169" t="s">
        <v>258</v>
      </c>
      <c r="B169" s="9">
        <v>12.862347970516241</v>
      </c>
      <c r="C169" s="10">
        <v>0.66666666666666674</v>
      </c>
    </row>
    <row r="170" spans="1:3" x14ac:dyDescent="0.25">
      <c r="A170" t="s">
        <v>259</v>
      </c>
      <c r="B170" s="9">
        <v>1070.7320685585978</v>
      </c>
      <c r="C170" s="10">
        <v>0.76</v>
      </c>
    </row>
    <row r="171" spans="1:3" x14ac:dyDescent="0.25">
      <c r="A171" t="s">
        <v>260</v>
      </c>
      <c r="B171" s="9">
        <v>114.19702441875</v>
      </c>
      <c r="C171" s="10">
        <v>0.79166666666666663</v>
      </c>
    </row>
    <row r="172" spans="1:3" x14ac:dyDescent="0.25">
      <c r="A172" t="s">
        <v>261</v>
      </c>
      <c r="B172" s="9">
        <v>1662.7913537158233</v>
      </c>
      <c r="C172" s="10">
        <v>0.19999999999999996</v>
      </c>
    </row>
    <row r="173" spans="1:3" x14ac:dyDescent="0.25">
      <c r="A173" t="s">
        <v>262</v>
      </c>
      <c r="B173" s="9">
        <v>1424.2501881557064</v>
      </c>
      <c r="C173" s="10">
        <v>0.5714285714285714</v>
      </c>
    </row>
    <row r="174" spans="1:3" x14ac:dyDescent="0.25">
      <c r="A174" t="s">
        <v>263</v>
      </c>
      <c r="B174" s="9">
        <v>21.730943021224441</v>
      </c>
      <c r="C174" s="10">
        <v>0.8214285714285714</v>
      </c>
    </row>
    <row r="175" spans="1:3" x14ac:dyDescent="0.25">
      <c r="A175" t="s">
        <v>264</v>
      </c>
      <c r="B175" s="9">
        <v>529.64492214275208</v>
      </c>
      <c r="C175" s="10">
        <v>0.8214285714285714</v>
      </c>
    </row>
    <row r="176" spans="1:3" x14ac:dyDescent="0.25">
      <c r="A176" t="s">
        <v>265</v>
      </c>
      <c r="B176" s="9">
        <v>418.35028484266428</v>
      </c>
      <c r="C176" s="10">
        <v>0.5714285714285714</v>
      </c>
    </row>
    <row r="177" spans="1:3" x14ac:dyDescent="0.25">
      <c r="A177" t="s">
        <v>266</v>
      </c>
      <c r="B177" s="9">
        <v>10.858598584412293</v>
      </c>
      <c r="C177" s="10">
        <v>0.8214285714285714</v>
      </c>
    </row>
    <row r="178" spans="1:3" x14ac:dyDescent="0.25">
      <c r="A178" t="s">
        <v>267</v>
      </c>
      <c r="B178" s="9">
        <v>227.25885691417855</v>
      </c>
      <c r="C178" s="10">
        <v>0.8</v>
      </c>
    </row>
    <row r="179" spans="1:3" x14ac:dyDescent="0.25">
      <c r="A179" t="s">
        <v>268</v>
      </c>
      <c r="B179" s="9">
        <v>179.50480321501166</v>
      </c>
      <c r="C179" s="10">
        <v>0.52</v>
      </c>
    </row>
    <row r="180" spans="1:3" x14ac:dyDescent="0.25">
      <c r="A180" t="s">
        <v>269</v>
      </c>
      <c r="B180" s="9">
        <v>1.7601358604133699</v>
      </c>
      <c r="C180" s="10">
        <v>0.8</v>
      </c>
    </row>
    <row r="181" spans="1:3" x14ac:dyDescent="0.25">
      <c r="A181" t="s">
        <v>270</v>
      </c>
      <c r="B181" s="9">
        <v>107.70582513600003</v>
      </c>
      <c r="C181" s="10">
        <v>0.8214285714285714</v>
      </c>
    </row>
    <row r="182" spans="1:3" x14ac:dyDescent="0.25">
      <c r="A182" t="s">
        <v>271</v>
      </c>
      <c r="B182" s="9">
        <v>125.31006744756897</v>
      </c>
      <c r="C182" s="10">
        <v>0.83333333333333337</v>
      </c>
    </row>
    <row r="183" spans="1:3" x14ac:dyDescent="0.25">
      <c r="A183" t="s">
        <v>272</v>
      </c>
      <c r="B183" s="9">
        <v>98.978580212300329</v>
      </c>
      <c r="C183" s="10">
        <v>0.6</v>
      </c>
    </row>
    <row r="184" spans="1:3" x14ac:dyDescent="0.25">
      <c r="A184" t="s">
        <v>273</v>
      </c>
      <c r="B184" s="9">
        <v>680.59916347499995</v>
      </c>
      <c r="C184" s="10">
        <v>0.68421052631578949</v>
      </c>
    </row>
    <row r="185" spans="1:3" x14ac:dyDescent="0.25">
      <c r="A185" t="s">
        <v>274</v>
      </c>
      <c r="B185" s="9">
        <v>206.73437868164729</v>
      </c>
      <c r="C185" s="10">
        <v>0.6</v>
      </c>
    </row>
    <row r="186" spans="1:3" x14ac:dyDescent="0.25">
      <c r="A186" t="s">
        <v>275</v>
      </c>
      <c r="B186" s="9">
        <v>459.82949502743224</v>
      </c>
      <c r="C186" s="10">
        <v>0.19999999999999996</v>
      </c>
    </row>
    <row r="187" spans="1:3" x14ac:dyDescent="0.25">
      <c r="A187" t="s">
        <v>276</v>
      </c>
      <c r="B187" s="9">
        <v>924.12063993653294</v>
      </c>
      <c r="C187" s="10">
        <v>0.5714285714285714</v>
      </c>
    </row>
    <row r="188" spans="1:3" x14ac:dyDescent="0.25">
      <c r="A188" t="s">
        <v>277</v>
      </c>
      <c r="B188" s="9">
        <v>356.31243293910507</v>
      </c>
      <c r="C188" s="10">
        <v>0.52</v>
      </c>
    </row>
    <row r="189" spans="1:3" x14ac:dyDescent="0.25">
      <c r="A189" t="s">
        <v>278</v>
      </c>
      <c r="B189" s="9">
        <v>1877.4716310000019</v>
      </c>
      <c r="C189" s="10">
        <v>0.85714285714285721</v>
      </c>
    </row>
    <row r="190" spans="1:3" x14ac:dyDescent="0.25">
      <c r="A190" t="s">
        <v>279</v>
      </c>
      <c r="B190" s="9">
        <v>24727.675140000003</v>
      </c>
      <c r="C190" s="10">
        <v>0.90909090909090906</v>
      </c>
    </row>
    <row r="191" spans="1:3" x14ac:dyDescent="0.25">
      <c r="A191" t="s">
        <v>280</v>
      </c>
      <c r="B191" s="9">
        <v>15798.236894999998</v>
      </c>
      <c r="C191" s="10">
        <v>0.90909090909090906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G39"/>
  <sheetViews>
    <sheetView workbookViewId="0">
      <selection activeCell="C31" sqref="C31"/>
    </sheetView>
  </sheetViews>
  <sheetFormatPr defaultRowHeight="15" x14ac:dyDescent="0.25"/>
  <cols>
    <col min="1" max="1" width="65.42578125" bestFit="1" customWidth="1"/>
    <col min="3" max="3" width="25.140625" customWidth="1"/>
    <col min="5" max="5" width="38" bestFit="1" customWidth="1"/>
    <col min="7" max="7" width="17.5703125" customWidth="1"/>
  </cols>
  <sheetData>
    <row r="1" spans="1:7" x14ac:dyDescent="0.25">
      <c r="A1" t="s">
        <v>38</v>
      </c>
      <c r="C1" t="s">
        <v>39</v>
      </c>
      <c r="E1" t="s">
        <v>40</v>
      </c>
      <c r="G1" t="s">
        <v>41</v>
      </c>
    </row>
    <row r="2" spans="1:7" x14ac:dyDescent="0.25">
      <c r="A2" t="s">
        <v>63</v>
      </c>
      <c r="C2" t="s">
        <v>12</v>
      </c>
      <c r="E2" t="s">
        <v>7</v>
      </c>
      <c r="G2" s="3" t="s">
        <v>7</v>
      </c>
    </row>
    <row r="3" spans="1:7" x14ac:dyDescent="0.25">
      <c r="A3" t="s">
        <v>56</v>
      </c>
      <c r="C3" t="s">
        <v>14</v>
      </c>
      <c r="E3" t="s">
        <v>19</v>
      </c>
      <c r="G3" s="3" t="s">
        <v>19</v>
      </c>
    </row>
    <row r="4" spans="1:7" x14ac:dyDescent="0.25">
      <c r="A4" t="s">
        <v>1</v>
      </c>
      <c r="C4" t="s">
        <v>51</v>
      </c>
      <c r="E4" t="s">
        <v>24</v>
      </c>
      <c r="G4" s="3" t="s">
        <v>5</v>
      </c>
    </row>
    <row r="5" spans="1:7" x14ac:dyDescent="0.25">
      <c r="A5" t="s">
        <v>0</v>
      </c>
      <c r="C5" t="s">
        <v>282</v>
      </c>
      <c r="E5" t="s">
        <v>21</v>
      </c>
      <c r="G5" s="3" t="s">
        <v>4</v>
      </c>
    </row>
    <row r="6" spans="1:7" x14ac:dyDescent="0.25">
      <c r="A6" t="s">
        <v>65</v>
      </c>
      <c r="C6" t="s">
        <v>50</v>
      </c>
      <c r="E6" t="s">
        <v>23</v>
      </c>
      <c r="G6" s="3" t="s">
        <v>6</v>
      </c>
    </row>
    <row r="7" spans="1:7" x14ac:dyDescent="0.25">
      <c r="A7" t="s">
        <v>2</v>
      </c>
      <c r="C7" t="s">
        <v>44</v>
      </c>
      <c r="E7" t="s">
        <v>22</v>
      </c>
      <c r="G7" s="3" t="s">
        <v>8</v>
      </c>
    </row>
    <row r="8" spans="1:7" x14ac:dyDescent="0.25">
      <c r="A8" t="s">
        <v>3</v>
      </c>
      <c r="C8" t="s">
        <v>52</v>
      </c>
      <c r="E8" t="s">
        <v>20</v>
      </c>
      <c r="G8" s="3" t="s">
        <v>42</v>
      </c>
    </row>
    <row r="9" spans="1:7" x14ac:dyDescent="0.25">
      <c r="A9" t="s">
        <v>81</v>
      </c>
      <c r="C9" t="s">
        <v>13</v>
      </c>
      <c r="E9" t="s">
        <v>5</v>
      </c>
    </row>
    <row r="10" spans="1:7" x14ac:dyDescent="0.25">
      <c r="A10" t="s">
        <v>62</v>
      </c>
      <c r="C10" t="s">
        <v>53</v>
      </c>
      <c r="E10" t="s">
        <v>33</v>
      </c>
    </row>
    <row r="11" spans="1:7" x14ac:dyDescent="0.25">
      <c r="A11" t="s">
        <v>67</v>
      </c>
      <c r="C11" t="s">
        <v>281</v>
      </c>
      <c r="E11" t="s">
        <v>34</v>
      </c>
    </row>
    <row r="12" spans="1:7" x14ac:dyDescent="0.25">
      <c r="A12" t="s">
        <v>76</v>
      </c>
      <c r="C12" t="s">
        <v>15</v>
      </c>
      <c r="E12" t="s">
        <v>4</v>
      </c>
    </row>
    <row r="13" spans="1:7" x14ac:dyDescent="0.25">
      <c r="A13" t="s">
        <v>82</v>
      </c>
      <c r="C13" t="s">
        <v>54</v>
      </c>
      <c r="E13" t="s">
        <v>26</v>
      </c>
    </row>
    <row r="14" spans="1:7" x14ac:dyDescent="0.25">
      <c r="A14" t="s">
        <v>82</v>
      </c>
      <c r="E14" t="s">
        <v>27</v>
      </c>
    </row>
    <row r="15" spans="1:7" x14ac:dyDescent="0.25">
      <c r="A15" t="s">
        <v>72</v>
      </c>
      <c r="E15" t="s">
        <v>25</v>
      </c>
    </row>
    <row r="16" spans="1:7" x14ac:dyDescent="0.25">
      <c r="A16" t="s">
        <v>85</v>
      </c>
      <c r="E16" t="s">
        <v>30</v>
      </c>
    </row>
    <row r="17" spans="1:5" x14ac:dyDescent="0.25">
      <c r="A17" t="s">
        <v>70</v>
      </c>
      <c r="E17" t="s">
        <v>32</v>
      </c>
    </row>
    <row r="18" spans="1:5" x14ac:dyDescent="0.25">
      <c r="A18" t="s">
        <v>71</v>
      </c>
      <c r="E18" t="s">
        <v>29</v>
      </c>
    </row>
    <row r="19" spans="1:5" x14ac:dyDescent="0.25">
      <c r="A19" t="s">
        <v>64</v>
      </c>
      <c r="E19" t="s">
        <v>28</v>
      </c>
    </row>
    <row r="20" spans="1:5" x14ac:dyDescent="0.25">
      <c r="A20" t="s">
        <v>75</v>
      </c>
      <c r="E20" t="s">
        <v>31</v>
      </c>
    </row>
    <row r="21" spans="1:5" x14ac:dyDescent="0.25">
      <c r="A21" t="s">
        <v>78</v>
      </c>
      <c r="E21" t="s">
        <v>6</v>
      </c>
    </row>
    <row r="22" spans="1:5" x14ac:dyDescent="0.25">
      <c r="A22" t="s">
        <v>58</v>
      </c>
      <c r="E22" t="s">
        <v>8</v>
      </c>
    </row>
    <row r="23" spans="1:5" x14ac:dyDescent="0.25">
      <c r="A23" t="s">
        <v>74</v>
      </c>
    </row>
    <row r="24" spans="1:5" x14ac:dyDescent="0.25">
      <c r="A24" t="s">
        <v>66</v>
      </c>
    </row>
    <row r="25" spans="1:5" x14ac:dyDescent="0.25">
      <c r="A25" t="s">
        <v>60</v>
      </c>
    </row>
    <row r="26" spans="1:5" x14ac:dyDescent="0.25">
      <c r="A26" t="s">
        <v>87</v>
      </c>
    </row>
    <row r="27" spans="1:5" x14ac:dyDescent="0.25">
      <c r="A27" t="s">
        <v>86</v>
      </c>
    </row>
    <row r="28" spans="1:5" x14ac:dyDescent="0.25">
      <c r="A28" t="s">
        <v>88</v>
      </c>
    </row>
    <row r="29" spans="1:5" x14ac:dyDescent="0.25">
      <c r="A29" t="s">
        <v>79</v>
      </c>
    </row>
    <row r="30" spans="1:5" x14ac:dyDescent="0.25">
      <c r="A30" t="s">
        <v>73</v>
      </c>
    </row>
    <row r="31" spans="1:5" x14ac:dyDescent="0.25">
      <c r="A31" t="s">
        <v>80</v>
      </c>
    </row>
    <row r="32" spans="1:5" x14ac:dyDescent="0.25">
      <c r="A32" t="s">
        <v>61</v>
      </c>
    </row>
    <row r="33" spans="1:1" x14ac:dyDescent="0.25">
      <c r="A33" t="s">
        <v>68</v>
      </c>
    </row>
    <row r="34" spans="1:1" x14ac:dyDescent="0.25">
      <c r="A34" t="s">
        <v>57</v>
      </c>
    </row>
    <row r="35" spans="1:1" x14ac:dyDescent="0.25">
      <c r="A35" t="s">
        <v>77</v>
      </c>
    </row>
    <row r="36" spans="1:1" x14ac:dyDescent="0.25">
      <c r="A36" t="s">
        <v>69</v>
      </c>
    </row>
    <row r="37" spans="1:1" x14ac:dyDescent="0.25">
      <c r="A37" t="s">
        <v>83</v>
      </c>
    </row>
    <row r="38" spans="1:1" x14ac:dyDescent="0.25">
      <c r="A38" t="s">
        <v>84</v>
      </c>
    </row>
    <row r="39" spans="1:1" x14ac:dyDescent="0.25">
      <c r="A39" t="s">
        <v>59</v>
      </c>
    </row>
  </sheetData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Z � k l a d n � _ s e k t o r y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 i : t y p e = " S a n d b o x E d i t o r M e a s u r e G r i d K e y " & g t ; & l t ; T a b l e N a m e & g t ; Z � k l a d n � _ s e k t o r y & l t ; / T a b l e N a m e & g t ; & l t ; / K e y & g t ; & l t ; M a i n t a i n e r 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 r e a d o n l y & l t ; / K e y & g t ; & l t ; / D i a g r a m O b j e c t K e y & g t ; & l t ; D i a g r a m O b j e c t K e y & g t ; & l t ; K e y & g t ; C o l u m n s \ Z � k l a d n �   s e k t o r y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Z � k l a d n �   s e k t o r y & l t ; / K e y & g t ; & l t ; / a : K e y & g t ; & l t ; a : V a l u e 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� s p o r y _ e n e r g i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 i : t y p e = " S a n d b o x E d i t o r M e a s u r e G r i d K e y " & g t ; & l t ; T a b l e N a m e & g t ; � s p o r y _ e n e r g i e & l t ; / T a b l e N a m e & g t ; & l t ; / K e y & g t ; & l t ; M a i n t a i n e r 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e k t o r & l t ; / K e y & g t ; & l t ; / D i a g r a m O b j e c t K e y & g t ; & l t ; D i a g r a m O b j e c t K e y & g t ; & l t ; K e y & g t ; C o l u m n s \ O p a t Ye n � & l t ; / K e y & g t ; & l t ; / D i a g r a m O b j e c t K e y & g t ; & l t ; D i a g r a m O b j e c t K e y & g t ; & l t ; K e y & g t ; C o l u m n s \ I n v e s t i c e   [ K / G J ] & l t ; / K e y & g t ; & l t ; / D i a g r a m O b j e c t K e y & g t ; & l t ; D i a g r a m O b j e c t K e y & g t ; & l t ; K e y & g t ; C o l u m n s \ N � v r a t n o s t   b e z   d o t a c e   [ r ] & l t ; / K e y & g t ; & l t ; / D i a g r a m O b j e c t K e y & g t ; & l t ; D i a g r a m O b j e c t K e y & g t ; & l t ; K e y & g t ; C o l u m n s \ � s p o r a   e n e r g i e   [ % ] & l t ; / K e y & g t ; & l t ; / D i a g r a m O b j e c t K e y & g t ; & l t ; D i a g r a m O b j e c t K e y & g t ; & l t ; K e y & g t ; C o l u m n s \ }i v o t n o s t   [ r ]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k t o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p a t Ye n �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n v e s t i c e   [ K / G J ] & l t ; / K e y & g t ; & l t ; / a : K e y & g t ; & l t ; a : V a l u e 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� v r a t n o s t   b e z   d o t a c e   [ r ] & l t ; / K e y & g t ; & l t ; / a : K e y & g t ; & l t ; a : V a l u e 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� s p o r a   e n e r g i e   [ % ] & l t ; / K e y & g t ; & l t ; / a : K e y & g t ; & l t ; a : V a l u e 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}i v o t n o s t   [ r ] & l t ; / K e y & g t ; & l t ; / a : K e y & g t ; & l t ; a : V a l u e 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 T a g s \ T a b l e s \ & a m p ; l t ; T a b l e s \ � s p o r y _ e n e r g i e & a m p ; g t ; & l t ; / K e y & g t ; & l t ; / D i a g r a m O b j e c t K e y & g t ; & l t ; D i a g r a m O b j e c t K e y & g t ; & l t ; K e y & g t ; D y n a m i c   T a g s \ T a b l e s \ & a m p ; l t ; T a b l e s \ Z � k l a d n � _ s e k t o r y & a m p ; g t ; & l t ; / K e y & g t ; & l t ; / D i a g r a m O b j e c t K e y & g t ; & l t ; D i a g r a m O b j e c t K e y & g t ; & l t ; K e y & g t ; T a b l e s \ � s p o r y _ e n e r g i e & l t ; / K e y & g t ; & l t ; / D i a g r a m O b j e c t K e y & g t ; & l t ; D i a g r a m O b j e c t K e y & g t ; & l t ; K e y & g t ; T a b l e s \ � s p o r y _ e n e r g i e \ C o l u m n s \ S e k t o r & l t ; / K e y & g t ; & l t ; / D i a g r a m O b j e c t K e y & g t ; & l t ; D i a g r a m O b j e c t K e y & g t ; & l t ; K e y & g t ; T a b l e s \ � s p o r y _ e n e r g i e \ C o l u m n s \ O p a t Ye n � & l t ; / K e y & g t ; & l t ; / D i a g r a m O b j e c t K e y & g t ; & l t ; D i a g r a m O b j e c t K e y & g t ; & l t ; K e y & g t ; T a b l e s \ � s p o r y _ e n e r g i e \ C o l u m n s \ I n v e s t i c e   [ K / G J ] & l t ; / K e y & g t ; & l t ; / D i a g r a m O b j e c t K e y & g t ; & l t ; D i a g r a m O b j e c t K e y & g t ; & l t ; K e y & g t ; T a b l e s \ � s p o r y _ e n e r g i e \ C o l u m n s \ N � v r a t n o s t   b e z   d o t a c e   [ r ] & l t ; / K e y & g t ; & l t ; / D i a g r a m O b j e c t K e y & g t ; & l t ; D i a g r a m O b j e c t K e y & g t ; & l t ; K e y & g t ; T a b l e s \ � s p o r y _ e n e r g i e \ C o l u m n s \ � s p o r a   e n e r g i e   [ % ] & l t ; / K e y & g t ; & l t ; / D i a g r a m O b j e c t K e y & g t ; & l t ; D i a g r a m O b j e c t K e y & g t ; & l t ; K e y & g t ; T a b l e s \ � s p o r y _ e n e r g i e \ C o l u m n s \ }i v o t n o s t   [ r ] & l t ; / K e y & g t ; & l t ; / D i a g r a m O b j e c t K e y & g t ; & l t ; D i a g r a m O b j e c t K e y & g t ; & l t ; K e y & g t ; T a b l e s \ Z � k l a d n � _ s e k t o r y & l t ; / K e y & g t ; & l t ; / D i a g r a m O b j e c t K e y & g t ; & l t ; D i a g r a m O b j e c t K e y & g t ; & l t ; K e y & g t ; T a b l e s \ Z � k l a d n � _ s e k t o r y \ C o l u m n s \ Z � k l a d n �   s e k t o r y & l t ; / K e y & g t ; & l t ; / D i a g r a m O b j e c t K e y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& l t ; / K e y & g t ; & l t ; / D i a g r a m O b j e c t K e y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F K & l t ; / K e y & g t ; & l t ; / D i a g r a m O b j e c t K e y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P K & l t ; / K e y & g t ; & l t ; / D i a g r a m O b j e c t K e y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C r o s s F i l t e r & l t ; / K e y & g t ; & l t ; / D i a g r a m O b j e c t K e y & g t ; & l t ; / A l l K e y s & g t ; & l t ; S e l e c t e d K e y s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 T a g s \ T a b l e s \ & a m p ; l t ; T a b l e s \ � s p o r y _ e n e r g i e & a m p ; g t ; & l t ; / K e y & g t ; & l t ; / a : K e y & g t ; & l t ; a : V a l u e 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 T a g s \ T a b l e s \ & a m p ; l t ; T a b l e s \ Z � k l a d n � _ s e k t o r y & a m p ; g t ; & l t ; / K e y & g t ; & l t ; / a : K e y & g t ; & l t ; a : V a l u e 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S e k t o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O p a t Ye n �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I n v e s t i c e   [ K / G J ] & l t ; / K e y & g t ; & l t ; / a : K e y & g t ; & l t ; a : V a l u e 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N � v r a t n o s t   b e z   d o t a c e   [ r ] & l t ; / K e y & g t ; & l t ; / a : K e y & g t ; & l t ; a : V a l u e 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� s p o r a   e n e r g i e   [ % ] & l t ; / K e y & g t ; & l t ; / a : K e y & g t ; & l t ; a : V a l u e 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}i v o t n o s t   [ r ] & l t ; / K e y & g t ; & l t ; / a : K e y & g t ; & l t ; a : V a l u e 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Z � k l a d n � _ s e k t o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9 . 9 0 3 8 1 0 5 6 7 6 6 5 8 & l t ; / L e f t & g t ; & l t ; T a b I n d e x & g t ; 1 & l t ; / T a b I n d e x & g t ; & l t ; T o p & g t ; 1 8 5 . 1 4 5 7 0 1 5 1 6 7 7 1 3 4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Z � k l a d n � _ s e k t o r y \ C o l u m n s \ Z � k l a d n �   s e k t o r y & l t ; / K e y & g t ; & l t ; / a : K e y & g t ; & l t ; a : V a l u e 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 s e k t o r y & a m p ; g t ; & l t ; / K e y & g t ; & l t ; / a : K e y & g t ; & l t ; a : V a l u e   i : t y p e = " D i a g r a m D i s p l a y L i n k V i e w S t a t e " & g t ; & l t ; A u t o m a t i o n P r o p e r t y H e l p e r T e x t & g t ; K o n c o v �   b o d   1 :   ( 2 1 6 , 7 5 ) .   K o n c o v �   b o d   2 :   ( 3 1 3 , 9 0 3 8 1 0 5 6 7 6 6 6 , 2 6 0 , 1 4 5 7 0 2 ) 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2 1 6 & l t ; / b : _ x & g t ; & l t ; b : _ y & g t ; 7 5 & l t ; / b : _ y & g t ; & l t ; / b : P o i n t & g t ; & l t ; b : P o i n t & g t ; & l t ; b : _ x & g t ; 2 6 2 . 9 5 1 9 0 5 5 & l t ; / b : _ x & g t ; & l t ; b : _ y & g t ; 7 5 & l t ; / b : _ y & g t ; & l t ; / b : P o i n t & g t ; & l t ; b : P o i n t & g t ; & l t ; b : _ x & g t ; 2 6 4 . 9 5 1 9 0 5 5 & l t ; / b : _ x & g t ; & l t ; b : _ y & g t ; 7 7 & l t ; / b : _ y & g t ; & l t ; / b : P o i n t & g t ; & l t ; b : P o i n t & g t ; & l t ; b : _ x & g t ; 2 6 4 . 9 5 1 9 0 5 5 & l t ; / b : _ x & g t ; & l t ; b : _ y & g t ; 2 5 8 . 1 4 5 7 0 2 & l t ; / b : _ y & g t ; & l t ; / b : P o i n t & g t ; & l t ; b : P o i n t & g t ; & l t ; b : _ x & g t ; 2 6 6 . 9 5 1 9 0 5 5 & l t ; / b : _ x & g t ; & l t ; b : _ y & g t ; 2 6 0 . 1 4 5 7 0 2 & l t ; / b : _ y & g t ; & l t ; / b : P o i n t & g t ; & l t ; b : P o i n t & g t ; & l t ; b : _ x & g t ; 3 1 3 . 9 0 3 8 1 0 5 6 7 6 6 5 8 & l t ; / b : _ x & g t ; & l t ; b : _ y & g t ; 2 6 0 . 1 4 5 7 0 2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2 0 0 & l t ; / b : _ x & g t ; & l t ; b : _ y & g t ; 6 7 & l t ; / b : _ y & g t ; & l t ; / L a b e l L o c a t i o n & g t ; & l t ; L o c a t i o n   x m l n s : b = " h t t p : / / s c h e m a s . d a t a c o n t r a c t . o r g / 2 0 0 4 / 0 7 / S y s t e m . W i n d o w s " & g t ; & l t ; b : _ x & g t ; 2 0 0 & l t ; / b : _ x & g t ; & l t ; b : _ y & g t ; 7 5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3 1 3 . 9 0 3 8 1 0 5 6 7 6 6 5 8 & l t ; / b : _ x & g t ; & l t ; b : _ y & g t ; 2 5 2 . 1 4 5 7 0 2 0 0 0 0 0 0 0 3 & l t ; / b : _ y & g t ; & l t ; / L a b e l L o c a t i o n & g t ; & l t ; L o c a t i o n   x m l n s : b = " h t t p : / / s c h e m a s . d a t a c o n t r a c t . o r g / 2 0 0 4 / 0 7 / S y s t e m . W i n d o w s " & g t ; & l t ; b : _ x & g t ; 3 2 9 . 9 0 3 8 1 0 5 6 7 6 6 5 8 & l t ; / b : _ x & g t ; & l t ; b : _ y & g t ; 2 6 0 . 1 4 5 7 0 2 & l t ; / b : _ y & g t ; & l t ; / L o c a t i o n & g t ; & l t ; S h a p e R o t a t e A n g l e & g t ; 1 8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2 1 6 & l t ; / b : _ x & g t ; & l t ; b : _ y & g t ; 7 5 & l t ; / b : _ y & g t ; & l t ; / b : P o i n t & g t ; & l t ; b : P o i n t & g t ; & l t ; b : _ x & g t ; 2 6 2 . 9 5 1 9 0 5 5 & l t ; / b : _ x & g t ; & l t ; b : _ y & g t ; 7 5 & l t ; / b : _ y & g t ; & l t ; / b : P o i n t & g t ; & l t ; b : P o i n t & g t ; & l t ; b : _ x & g t ; 2 6 4 . 9 5 1 9 0 5 5 & l t ; / b : _ x & g t ; & l t ; b : _ y & g t ; 7 7 & l t ; / b : _ y & g t ; & l t ; / b : P o i n t & g t ; & l t ; b : P o i n t & g t ; & l t ; b : _ x & g t ; 2 6 4 . 9 5 1 9 0 5 5 & l t ; / b : _ x & g t ; & l t ; b : _ y & g t ; 2 5 8 . 1 4 5 7 0 2 & l t ; / b : _ y & g t ; & l t ; / b : P o i n t & g t ; & l t ; b : P o i n t & g t ; & l t ; b : _ x & g t ; 2 6 6 . 9 5 1 9 0 5 5 & l t ; / b : _ x & g t ; & l t ; b : _ y & g t ; 2 6 0 . 1 4 5 7 0 2 & l t ; / b : _ y & g t ; & l t ; / b : P o i n t & g t ; & l t ; b : P o i n t & g t ; & l t ; b : _ x & g t ; 3 1 3 . 9 0 3 8 1 0 5 6 7 6 6 5 8 & l t ; / b : _ x & g t ; & l t ; b : _ y & g t ; 2 6 0 . 1 4 5 7 0 2 & l t ; / b : _ y & g t ; & l t ; / b : P o i n t & g t ; & l t ; / P o i n t s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u l k a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S e k t o r & l t ; / s t r i n g & g t ; & l t ; / k e y & g t ; & l t ; v a l u e & g t ; & l t ; s t r i n g & g t ; W C h a r & l t ; / s t r i n g & g t ; & l t ; / v a l u e & g t ; & l t ; / i t e m & g t ; & l t ; i t e m & g t ; & l t ; k e y & g t ; & l t ; s t r i n g & g t ; O p a t Ye n � & l t ; / s t r i n g & g t ; & l t ; / k e y & g t ; & l t ; v a l u e & g t ; & l t ; s t r i n g & g t ; W C h a r & l t ; / s t r i n g & g t ; & l t ; / v a l u e & g t ; & l t ; / i t e m & g t ; & l t ; i t e m & g t ; & l t ; k e y & g t ; & l t ; s t r i n g & g t ; I n v e s t i c e   [ K / G J ] & l t ; / s t r i n g & g t ; & l t ; / k e y & g t ; & l t ; v a l u e & g t ; & l t ; s t r i n g & g t ; B i g I n t & l t ; / s t r i n g & g t ; & l t ; / v a l u e & g t ; & l t ; / i t e m & g t ; & l t ; i t e m & g t ; & l t ; k e y & g t ; & l t ; s t r i n g & g t ; N � v r a t n o s t   b e z   d o t a c e   [ r ] & l t ; / s t r i n g & g t ; & l t ; / k e y & g t ; & l t ; v a l u e & g t ; & l t ; s t r i n g & g t ; B i g I n t & l t ; / s t r i n g & g t ; & l t ; / v a l u e & g t ; & l t ; / i t e m & g t ; & l t ; i t e m & g t ; & l t ; k e y & g t ; & l t ; s t r i n g & g t ; � s p o r a   e n e r g i e   [ % ] & l t ; / s t r i n g & g t ; & l t ; / k e y & g t ; & l t ; v a l u e & g t ; & l t ; s t r i n g & g t ; D o u b l e & l t ; / s t r i n g & g t ; & l t ; / v a l u e & g t ; & l t ; / i t e m & g t ; & l t ; i t e m & g t ; & l t ; k e y & g t ; & l t ; s t r i n g & g t ; }i v o t n o s t   [ r ] & l t ; / s t r i n g & g t ; & l t ; / k e y & g t ; & l t ; v a l u e & g t ; & l t ; s t r i n g & g t ; B i g I n t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e k t o r & l t ; / s t r i n g & g t ; & l t ; / k e y & g t ; & l t ; v a l u e & g t ; & l t ; i n t & g t ; 7 6 & l t ; / i n t & g t ; & l t ; / v a l u e & g t ; & l t ; / i t e m & g t ; & l t ; i t e m & g t ; & l t ; k e y & g t ; & l t ; s t r i n g & g t ; O p a t Ye n � & l t ; / s t r i n g & g t ; & l t ; / k e y & g t ; & l t ; v a l u e & g t ; & l t ; i n t & g t ; 9 0 & l t ; / i n t & g t ; & l t ; / v a l u e & g t ; & l t ; / i t e m & g t ; & l t ; i t e m & g t ; & l t ; k e y & g t ; & l t ; s t r i n g & g t ; I n v e s t i c e   [ K / G J ] & l t ; / s t r i n g & g t ; & l t ; / k e y & g t ; & l t ; v a l u e & g t ; & l t ; i n t & g t ; 1 3 8 & l t ; / i n t & g t ; & l t ; / v a l u e & g t ; & l t ; / i t e m & g t ; & l t ; i t e m & g t ; & l t ; k e y & g t ; & l t ; s t r i n g & g t ; N � v r a t n o s t   b e z   d o t a c e   [ r ] & l t ; / s t r i n g & g t ; & l t ; / k e y & g t ; & l t ; v a l u e & g t ; & l t ; i n t & g t ; 1 9 2 & l t ; / i n t & g t ; & l t ; / v a l u e & g t ; & l t ; / i t e m & g t ; & l t ; i t e m & g t ; & l t ; k e y & g t ; & l t ; s t r i n g & g t ; � s p o r a   e n e r g i e   [ % ] & l t ; / s t r i n g & g t ; & l t ; / k e y & g t ; & l t ; v a l u e & g t ; & l t ; i n t & g t ; 1 5 4 & l t ; / i n t & g t ; & l t ; / v a l u e & g t ; & l t ; / i t e m & g t ; & l t ; i t e m & g t ; & l t ; k e y & g t ; & l t ; s t r i n g & g t ; }i v o t n o s t   [ r ] & l t ; / s t r i n g & g t ; & l t ; / k e y & g t ; & l t ; v a l u e & g t ; & l t ; i n t & g t ; 1 1 2 & l t ; / i n t & g t ; & l t ; / v a l u e & g t ; & l t ; / i t e m & g t ; & l t ; / C o l u m n W i d t h s & g t ; & l t ; C o l u m n D i s p l a y I n d e x & g t ; & l t ; i t e m & g t ; & l t ; k e y & g t ; & l t ; s t r i n g & g t ; S e k t o r & l t ; / s t r i n g & g t ; & l t ; / k e y & g t ; & l t ; v a l u e & g t ; & l t ; i n t & g t ; 0 & l t ; / i n t & g t ; & l t ; / v a l u e & g t ; & l t ; / i t e m & g t ; & l t ; i t e m & g t ; & l t ; k e y & g t ; & l t ; s t r i n g & g t ; O p a t Ye n � & l t ; / s t r i n g & g t ; & l t ; / k e y & g t ; & l t ; v a l u e & g t ; & l t ; i n t & g t ; 1 & l t ; / i n t & g t ; & l t ; / v a l u e & g t ; & l t ; / i t e m & g t ; & l t ; i t e m & g t ; & l t ; k e y & g t ; & l t ; s t r i n g & g t ; I n v e s t i c e   [ K / G J ] & l t ; / s t r i n g & g t ; & l t ; / k e y & g t ; & l t ; v a l u e & g t ; & l t ; i n t & g t ; 2 & l t ; / i n t & g t ; & l t ; / v a l u e & g t ; & l t ; / i t e m & g t ; & l t ; i t e m & g t ; & l t ; k e y & g t ; & l t ; s t r i n g & g t ; N � v r a t n o s t   b e z   d o t a c e   [ r ] & l t ; / s t r i n g & g t ; & l t ; / k e y & g t ; & l t ; v a l u e & g t ; & l t ; i n t & g t ; 3 & l t ; / i n t & g t ; & l t ; / v a l u e & g t ; & l t ; / i t e m & g t ; & l t ; i t e m & g t ; & l t ; k e y & g t ; & l t ; s t r i n g & g t ; � s p o r a   e n e r g i e   [ % ] & l t ; / s t r i n g & g t ; & l t ; / k e y & g t ; & l t ; v a l u e & g t ; & l t ; i n t & g t ; 4 & l t ; / i n t & g t ; & l t ; / v a l u e & g t ; & l t ; / i t e m & g t ; & l t ; i t e m & g t ; & l t ; k e y & g t ; & l t ; s t r i n g & g t ; }i v o t n o s t   [ r ] & l t ; / s t r i n g & g t ; & l t ; / k e y & g t ; & l t ; v a l u e & g t ; & l t ; i n t & g t ; 5 & l t ; / i n t & g t ; & l t ; / v a l u e & g t ; & l t ; / i t e m & g t ; & l t ; / C o l u m n D i s p l a y I n d e x & g t ; & l t ; C o l u m n F r o z e n 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 Z � k l a d n � _ s e k t o r y 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 Z � k l a d n � _ s e k t o r y 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 C o l u m n s \ Z � k l a d n �   s e k t o r y 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 � s p o r y _ e n e r g i e 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 � s p o r y _ e n e r g i e 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 C o l u m n s \ S e k t o r 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 C o l u m n s \ O p a t Ye n � 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 C o l u m n s \ I n v e s t i c e   [ K / G J ] 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 C o l u m n s \ N � v r a t n o s t   b e z   d o t a c e   [ r ] 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 C o l u m n s \ � s p o r a   e n e r g i e   [ % ] 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 C o l u m n s \ }i v o t n o s t   [ r ] 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 2 0 1 7 - 0 5 - 2 4 T 1 8 : 1 6 : 5 7 . 7 2 1 5 2 4 4 + 0 2 : 0 0 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7 8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u l k a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2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Z � k l a d n � _ s e k t o r y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Z � k l a d n � _ s e k t o r y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 x m l n s : x s i = " h t t p : / / w w w . w 3 . o r g / 2 0 0 1 / X M L S c h e m a - i n s t a n c e " & g t ; & l t ; C o l u m n S u g g e s t e d T y p e & g t ; & l t ; i t e m & g t ; & l t ; k e y & g t ; & l t ; s t r i n g & g t ; Z � k l a d n �   s e k t o r y & l t ; / s t r i n g & g t ; & l t ; / k e y & g t ; & l t ; v a l u e & g t ; & l t ; s t r i n g & g t ; W C h a r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 / & g t ; & l t ; C o l u m n W i d t h s & g t ; & l t ; i t e m & g t ; & l t ; k e y & g t ; & l t ; s t r i n g & g t ; Z � k l a d n �   s e k t o r y & l t ; / s t r i n g & g t ; & l t ; / k e y & g t ; & l t ; v a l u e & g t ; & l t ; i n t & g t ; 1 3 6 & l t ; / i n t & g t ; & l t ; / v a l u e & g t ; & l t ; / i t e m & g t ; & l t ; / C o l u m n W i d t h s & g t ; & l t ; C o l u m n D i s p l a y I n d e x & g t ; & l t ; i t e m & g t ; & l t ; k e y & g t ; & l t ; s t r i n g & g t ; Z � k l a d n �   s e k t o r y & l t ; / s t r i n g & g t ; & l t ; / k e y & g t ; & l t ; v a l u e & g t ; & l t ; i n t & g t ;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T a b u l k a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 T a b u l k a , Z � k l a d n � _ s e k t o r y < / C u s t o m C o n t e n t > < / G e m i n i > 
</file>

<file path=customXml/itemProps1.xml><?xml version="1.0" encoding="utf-8"?>
<ds:datastoreItem xmlns:ds="http://schemas.openxmlformats.org/officeDocument/2006/customXml" ds:itemID="{84D7B60D-47DC-4917-A850-AA4CC8AC9704}">
  <ds:schemaRefs/>
</ds:datastoreItem>
</file>

<file path=customXml/itemProps10.xml><?xml version="1.0" encoding="utf-8"?>
<ds:datastoreItem xmlns:ds="http://schemas.openxmlformats.org/officeDocument/2006/customXml" ds:itemID="{4FA77A62-1A86-47DC-BED6-7D082A4C570D}">
  <ds:schemaRefs/>
</ds:datastoreItem>
</file>

<file path=customXml/itemProps11.xml><?xml version="1.0" encoding="utf-8"?>
<ds:datastoreItem xmlns:ds="http://schemas.openxmlformats.org/officeDocument/2006/customXml" ds:itemID="{B05C80B0-3C7D-4AE7-9993-8A104FD4B8D7}">
  <ds:schemaRefs/>
</ds:datastoreItem>
</file>

<file path=customXml/itemProps12.xml><?xml version="1.0" encoding="utf-8"?>
<ds:datastoreItem xmlns:ds="http://schemas.openxmlformats.org/officeDocument/2006/customXml" ds:itemID="{D5FDA18E-41BB-4CB6-8EA2-17F30C1C7F50}">
  <ds:schemaRefs/>
</ds:datastoreItem>
</file>

<file path=customXml/itemProps13.xml><?xml version="1.0" encoding="utf-8"?>
<ds:datastoreItem xmlns:ds="http://schemas.openxmlformats.org/officeDocument/2006/customXml" ds:itemID="{4E34A321-6CC1-4AB4-AB6C-FF6A5A6CE8C2}">
  <ds:schemaRefs/>
</ds:datastoreItem>
</file>

<file path=customXml/itemProps14.xml><?xml version="1.0" encoding="utf-8"?>
<ds:datastoreItem xmlns:ds="http://schemas.openxmlformats.org/officeDocument/2006/customXml" ds:itemID="{0E13E342-BFD1-486D-A62D-E307F048986A}">
  <ds:schemaRefs/>
</ds:datastoreItem>
</file>

<file path=customXml/itemProps15.xml><?xml version="1.0" encoding="utf-8"?>
<ds:datastoreItem xmlns:ds="http://schemas.openxmlformats.org/officeDocument/2006/customXml" ds:itemID="{BEB90130-912A-4C73-98B9-31904C4C013C}">
  <ds:schemaRefs/>
</ds:datastoreItem>
</file>

<file path=customXml/itemProps16.xml><?xml version="1.0" encoding="utf-8"?>
<ds:datastoreItem xmlns:ds="http://schemas.openxmlformats.org/officeDocument/2006/customXml" ds:itemID="{BC1099A9-0A30-45AA-8EDF-681E133476E4}">
  <ds:schemaRefs/>
</ds:datastoreItem>
</file>

<file path=customXml/itemProps17.xml><?xml version="1.0" encoding="utf-8"?>
<ds:datastoreItem xmlns:ds="http://schemas.openxmlformats.org/officeDocument/2006/customXml" ds:itemID="{E2DF45EE-14C5-4ED2-84BE-E7353DED1AEF}">
  <ds:schemaRefs/>
</ds:datastoreItem>
</file>

<file path=customXml/itemProps18.xml><?xml version="1.0" encoding="utf-8"?>
<ds:datastoreItem xmlns:ds="http://schemas.openxmlformats.org/officeDocument/2006/customXml" ds:itemID="{68027EBB-1BBD-4ADE-86B0-B557A9FFE6E3}">
  <ds:schemaRefs/>
</ds:datastoreItem>
</file>

<file path=customXml/itemProps2.xml><?xml version="1.0" encoding="utf-8"?>
<ds:datastoreItem xmlns:ds="http://schemas.openxmlformats.org/officeDocument/2006/customXml" ds:itemID="{FB955FF0-0628-40E7-BFDC-ACD0D73198B8}">
  <ds:schemaRefs/>
</ds:datastoreItem>
</file>

<file path=customXml/itemProps3.xml><?xml version="1.0" encoding="utf-8"?>
<ds:datastoreItem xmlns:ds="http://schemas.openxmlformats.org/officeDocument/2006/customXml" ds:itemID="{6047BBF7-79FB-4143-A14D-03AADCAA60B4}">
  <ds:schemaRefs/>
</ds:datastoreItem>
</file>

<file path=customXml/itemProps4.xml><?xml version="1.0" encoding="utf-8"?>
<ds:datastoreItem xmlns:ds="http://schemas.openxmlformats.org/officeDocument/2006/customXml" ds:itemID="{75FDBB56-7399-40CA-94F3-CA18833C8FB8}">
  <ds:schemaRefs/>
</ds:datastoreItem>
</file>

<file path=customXml/itemProps5.xml><?xml version="1.0" encoding="utf-8"?>
<ds:datastoreItem xmlns:ds="http://schemas.openxmlformats.org/officeDocument/2006/customXml" ds:itemID="{2055D611-F9E6-42DD-A6B1-C3E71D7A84A4}">
  <ds:schemaRefs/>
</ds:datastoreItem>
</file>

<file path=customXml/itemProps6.xml><?xml version="1.0" encoding="utf-8"?>
<ds:datastoreItem xmlns:ds="http://schemas.openxmlformats.org/officeDocument/2006/customXml" ds:itemID="{0F80E167-CA39-451A-AA28-FCAADD869FEC}">
  <ds:schemaRefs/>
</ds:datastoreItem>
</file>

<file path=customXml/itemProps7.xml><?xml version="1.0" encoding="utf-8"?>
<ds:datastoreItem xmlns:ds="http://schemas.openxmlformats.org/officeDocument/2006/customXml" ds:itemID="{94EA83F3-AF23-44FD-B214-D93683701AD3}">
  <ds:schemaRefs/>
</ds:datastoreItem>
</file>

<file path=customXml/itemProps8.xml><?xml version="1.0" encoding="utf-8"?>
<ds:datastoreItem xmlns:ds="http://schemas.openxmlformats.org/officeDocument/2006/customXml" ds:itemID="{B17FC975-B91D-4348-BAC2-6FF82F9963D9}">
  <ds:schemaRefs/>
</ds:datastoreItem>
</file>

<file path=customXml/itemProps9.xml><?xml version="1.0" encoding="utf-8"?>
<ds:datastoreItem xmlns:ds="http://schemas.openxmlformats.org/officeDocument/2006/customXml" ds:itemID="{28624692-7C1C-4302-8863-B469CDD410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Tvorba nové politiky</vt:lpstr>
      <vt:lpstr>Emisní_koeficienty_energie</vt:lpstr>
      <vt:lpstr>Úsporná_opatření</vt:lpstr>
      <vt:lpstr>Potenciál_opatření</vt:lpstr>
      <vt:lpstr>Seznamy</vt:lpstr>
      <vt:lpstr>Emiskoef</vt:lpstr>
      <vt:lpstr>S_sektory_úspory</vt:lpstr>
      <vt:lpstr>S_ŠNE</vt:lpstr>
      <vt:lpstr>Tolerance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2017-12-21T10:26:04Z</dcterms:modified>
</cp:coreProperties>
</file>