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Projects\ECZ16048_TACR-OMEGA_-_Metodika_tvorby_a_hodnoceni_politik_a\Data\JiSp\Odpady\"/>
    </mc:Choice>
  </mc:AlternateContent>
  <bookViews>
    <workbookView xWindow="0" yWindow="0" windowWidth="28800" windowHeight="13950"/>
  </bookViews>
  <sheets>
    <sheet name="Instructions" sheetId="1" r:id="rId1"/>
    <sheet name="Parameters" sheetId="2" r:id="rId2"/>
    <sheet name="MCF" sheetId="3" r:id="rId3"/>
    <sheet name="Activity" sheetId="4" r:id="rId4"/>
    <sheet name="Amnt_Deposited" sheetId="5" r:id="rId5"/>
    <sheet name="Recovery_OX" sheetId="6" r:id="rId6"/>
    <sheet name="Results" sheetId="7" r:id="rId7"/>
    <sheet name="HWP" sheetId="8" r:id="rId8"/>
    <sheet name="Stored_C" sheetId="9" r:id="rId9"/>
    <sheet name="Theory" sheetId="10" r:id="rId10"/>
    <sheet name="Defaults" sheetId="11" r:id="rId11"/>
    <sheet name="Food" sheetId="12" r:id="rId12"/>
    <sheet name="Garden" sheetId="13" r:id="rId13"/>
    <sheet name="Paper" sheetId="14" r:id="rId14"/>
    <sheet name="Wood" sheetId="15" r:id="rId15"/>
    <sheet name="Textiles" sheetId="16" r:id="rId16"/>
    <sheet name="Nappies" sheetId="17" r:id="rId17"/>
    <sheet name="Sludge" sheetId="18" r:id="rId18"/>
    <sheet name="MSW" sheetId="19" r:id="rId19"/>
    <sheet name="Industry" sheetId="20" r:id="rId20"/>
  </sheets>
  <definedNames>
    <definedName name="conv">Parameters!$E$41</definedName>
    <definedName name="country">Parameters!$D$2</definedName>
    <definedName name="DOC_table">Defaults!$P$8:$Q$17</definedName>
    <definedName name="DOCF">Parameters!$E$23</definedName>
    <definedName name="half_life">Defaults!$D$8:$K$12</definedName>
    <definedName name="CH4_fraction">Parameters!$E$39</definedName>
    <definedName name="ox">Parameters!$E$43</definedName>
    <definedName name="Regional_data">Defaults!$W$8:$AH$26</definedName>
    <definedName name="Select2">Defaults!$O$20</definedName>
    <definedName name="Select3">Defaults!$W$5</definedName>
    <definedName name="selected">Defaults!$G$17</definedName>
    <definedName name="year">Parameters!$E$9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6" i="9" l="1"/>
  <c r="L106" i="9"/>
  <c r="K106" i="9"/>
  <c r="J106" i="9"/>
  <c r="I106" i="9"/>
  <c r="H106" i="9"/>
  <c r="G106" i="9"/>
  <c r="F106" i="9"/>
  <c r="E106" i="9"/>
  <c r="D106" i="9"/>
  <c r="N106" i="9" s="1"/>
  <c r="C106" i="9"/>
  <c r="M105" i="9"/>
  <c r="L105" i="9"/>
  <c r="K105" i="9"/>
  <c r="J105" i="9"/>
  <c r="I105" i="9"/>
  <c r="H105" i="9"/>
  <c r="G105" i="9"/>
  <c r="F105" i="9"/>
  <c r="N105" i="9" s="1"/>
  <c r="E105" i="9"/>
  <c r="D105" i="9"/>
  <c r="C105" i="9"/>
  <c r="M104" i="9"/>
  <c r="L104" i="9"/>
  <c r="D100" i="8" s="1"/>
  <c r="K104" i="9"/>
  <c r="J104" i="9"/>
  <c r="I104" i="9"/>
  <c r="H104" i="9"/>
  <c r="G104" i="9"/>
  <c r="F104" i="9"/>
  <c r="E104" i="9"/>
  <c r="D104" i="9"/>
  <c r="N104" i="9" s="1"/>
  <c r="C104" i="9"/>
  <c r="M103" i="9"/>
  <c r="L103" i="9"/>
  <c r="K103" i="9"/>
  <c r="J103" i="9"/>
  <c r="I103" i="9"/>
  <c r="H103" i="9"/>
  <c r="G103" i="9"/>
  <c r="F103" i="9"/>
  <c r="N103" i="9" s="1"/>
  <c r="E103" i="9"/>
  <c r="D103" i="9"/>
  <c r="C103" i="9"/>
  <c r="M102" i="9"/>
  <c r="L102" i="9"/>
  <c r="K102" i="9"/>
  <c r="J102" i="9"/>
  <c r="I102" i="9"/>
  <c r="H102" i="9"/>
  <c r="G102" i="9"/>
  <c r="F102" i="9"/>
  <c r="E102" i="9"/>
  <c r="D102" i="9"/>
  <c r="N102" i="9" s="1"/>
  <c r="C102" i="9"/>
  <c r="N101" i="9"/>
  <c r="M101" i="9"/>
  <c r="L101" i="9"/>
  <c r="K101" i="9"/>
  <c r="J101" i="9"/>
  <c r="I101" i="9"/>
  <c r="H101" i="9"/>
  <c r="G101" i="9"/>
  <c r="F101" i="9"/>
  <c r="D97" i="8" s="1"/>
  <c r="E101" i="9"/>
  <c r="D101" i="9"/>
  <c r="C101" i="9"/>
  <c r="M100" i="9"/>
  <c r="L100" i="9"/>
  <c r="D96" i="8" s="1"/>
  <c r="K100" i="9"/>
  <c r="J100" i="9"/>
  <c r="I100" i="9"/>
  <c r="H100" i="9"/>
  <c r="G100" i="9"/>
  <c r="F100" i="9"/>
  <c r="E100" i="9"/>
  <c r="D100" i="9"/>
  <c r="N100" i="9" s="1"/>
  <c r="C100" i="9"/>
  <c r="M99" i="9"/>
  <c r="L99" i="9"/>
  <c r="K99" i="9"/>
  <c r="J99" i="9"/>
  <c r="I99" i="9"/>
  <c r="H99" i="9"/>
  <c r="G99" i="9"/>
  <c r="F99" i="9"/>
  <c r="E99" i="9"/>
  <c r="D99" i="9"/>
  <c r="N99" i="9" s="1"/>
  <c r="C99" i="9"/>
  <c r="M98" i="9"/>
  <c r="L98" i="9"/>
  <c r="K98" i="9"/>
  <c r="J98" i="9"/>
  <c r="I98" i="9"/>
  <c r="H98" i="9"/>
  <c r="G98" i="9"/>
  <c r="F98" i="9"/>
  <c r="E98" i="9"/>
  <c r="D98" i="9"/>
  <c r="N98" i="9" s="1"/>
  <c r="C98" i="9"/>
  <c r="M97" i="9"/>
  <c r="L97" i="9"/>
  <c r="K97" i="9"/>
  <c r="J97" i="9"/>
  <c r="I97" i="9"/>
  <c r="H97" i="9"/>
  <c r="G97" i="9"/>
  <c r="F97" i="9"/>
  <c r="D93" i="8" s="1"/>
  <c r="E97" i="9"/>
  <c r="D97" i="9"/>
  <c r="C97" i="9"/>
  <c r="M96" i="9"/>
  <c r="L96" i="9"/>
  <c r="D92" i="8" s="1"/>
  <c r="K96" i="9"/>
  <c r="J96" i="9"/>
  <c r="I96" i="9"/>
  <c r="H96" i="9"/>
  <c r="G96" i="9"/>
  <c r="F96" i="9"/>
  <c r="E96" i="9"/>
  <c r="D96" i="9"/>
  <c r="N96" i="9" s="1"/>
  <c r="C96" i="9"/>
  <c r="M95" i="9"/>
  <c r="L95" i="9"/>
  <c r="K95" i="9"/>
  <c r="J95" i="9"/>
  <c r="I95" i="9"/>
  <c r="H95" i="9"/>
  <c r="G95" i="9"/>
  <c r="F95" i="9"/>
  <c r="E95" i="9"/>
  <c r="D95" i="9"/>
  <c r="N95" i="9" s="1"/>
  <c r="C95" i="9"/>
  <c r="M94" i="9"/>
  <c r="L94" i="9"/>
  <c r="K94" i="9"/>
  <c r="J94" i="9"/>
  <c r="I94" i="9"/>
  <c r="H94" i="9"/>
  <c r="G94" i="9"/>
  <c r="F94" i="9"/>
  <c r="E94" i="9"/>
  <c r="D94" i="9"/>
  <c r="N94" i="9" s="1"/>
  <c r="C94" i="9"/>
  <c r="M93" i="9"/>
  <c r="L93" i="9"/>
  <c r="K93" i="9"/>
  <c r="J93" i="9"/>
  <c r="I93" i="9"/>
  <c r="H93" i="9"/>
  <c r="G93" i="9"/>
  <c r="F93" i="9"/>
  <c r="D89" i="8" s="1"/>
  <c r="E93" i="9"/>
  <c r="D93" i="9"/>
  <c r="C93" i="9"/>
  <c r="M92" i="9"/>
  <c r="L92" i="9"/>
  <c r="D88" i="8" s="1"/>
  <c r="K92" i="9"/>
  <c r="J92" i="9"/>
  <c r="I92" i="9"/>
  <c r="H92" i="9"/>
  <c r="G92" i="9"/>
  <c r="F92" i="9"/>
  <c r="E92" i="9"/>
  <c r="D92" i="9"/>
  <c r="N92" i="9" s="1"/>
  <c r="C92" i="9"/>
  <c r="M91" i="9"/>
  <c r="L91" i="9"/>
  <c r="K91" i="9"/>
  <c r="J91" i="9"/>
  <c r="I91" i="9"/>
  <c r="H91" i="9"/>
  <c r="G91" i="9"/>
  <c r="F91" i="9"/>
  <c r="E91" i="9"/>
  <c r="D91" i="9"/>
  <c r="N91" i="9" s="1"/>
  <c r="C91" i="9"/>
  <c r="M90" i="9"/>
  <c r="L90" i="9"/>
  <c r="K90" i="9"/>
  <c r="J90" i="9"/>
  <c r="I90" i="9"/>
  <c r="H90" i="9"/>
  <c r="G90" i="9"/>
  <c r="F90" i="9"/>
  <c r="E90" i="9"/>
  <c r="D90" i="9"/>
  <c r="N90" i="9" s="1"/>
  <c r="C90" i="9"/>
  <c r="M89" i="9"/>
  <c r="L89" i="9"/>
  <c r="K89" i="9"/>
  <c r="J89" i="9"/>
  <c r="I89" i="9"/>
  <c r="H89" i="9"/>
  <c r="G89" i="9"/>
  <c r="F89" i="9"/>
  <c r="D85" i="8" s="1"/>
  <c r="E89" i="9"/>
  <c r="D89" i="9"/>
  <c r="C89" i="9"/>
  <c r="M88" i="9"/>
  <c r="L88" i="9"/>
  <c r="K88" i="9"/>
  <c r="J88" i="9"/>
  <c r="I88" i="9"/>
  <c r="H88" i="9"/>
  <c r="G88" i="9"/>
  <c r="F88" i="9"/>
  <c r="E88" i="9"/>
  <c r="D88" i="9"/>
  <c r="N88" i="9" s="1"/>
  <c r="C88" i="9"/>
  <c r="M87" i="9"/>
  <c r="L87" i="9"/>
  <c r="K87" i="9"/>
  <c r="J87" i="9"/>
  <c r="I87" i="9"/>
  <c r="H87" i="9"/>
  <c r="G87" i="9"/>
  <c r="F87" i="9"/>
  <c r="E87" i="9"/>
  <c r="D87" i="9"/>
  <c r="N87" i="9" s="1"/>
  <c r="C87" i="9"/>
  <c r="M86" i="9"/>
  <c r="L86" i="9"/>
  <c r="K86" i="9"/>
  <c r="J86" i="9"/>
  <c r="I86" i="9"/>
  <c r="H86" i="9"/>
  <c r="G86" i="9"/>
  <c r="F86" i="9"/>
  <c r="E86" i="9"/>
  <c r="D86" i="9"/>
  <c r="N86" i="9" s="1"/>
  <c r="C86" i="9"/>
  <c r="N85" i="9"/>
  <c r="M85" i="9"/>
  <c r="L85" i="9"/>
  <c r="K85" i="9"/>
  <c r="J85" i="9"/>
  <c r="I85" i="9"/>
  <c r="H85" i="9"/>
  <c r="G85" i="9"/>
  <c r="F85" i="9"/>
  <c r="E85" i="9"/>
  <c r="D85" i="9"/>
  <c r="C85" i="9"/>
  <c r="M84" i="9"/>
  <c r="L84" i="9"/>
  <c r="D80" i="8" s="1"/>
  <c r="K84" i="9"/>
  <c r="J84" i="9"/>
  <c r="I84" i="9"/>
  <c r="H84" i="9"/>
  <c r="G84" i="9"/>
  <c r="F84" i="9"/>
  <c r="E84" i="9"/>
  <c r="D84" i="9"/>
  <c r="N84" i="9" s="1"/>
  <c r="C84" i="9"/>
  <c r="M83" i="9"/>
  <c r="L83" i="9"/>
  <c r="K83" i="9"/>
  <c r="J83" i="9"/>
  <c r="I83" i="9"/>
  <c r="H83" i="9"/>
  <c r="G83" i="9"/>
  <c r="F83" i="9"/>
  <c r="E83" i="9"/>
  <c r="D83" i="9"/>
  <c r="N83" i="9" s="1"/>
  <c r="C83" i="9"/>
  <c r="B83" i="9"/>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O102" i="8"/>
  <c r="N102" i="8"/>
  <c r="L102" i="8"/>
  <c r="K102" i="8"/>
  <c r="J102" i="8"/>
  <c r="M102" i="8" s="1"/>
  <c r="E102" i="8"/>
  <c r="D102" i="8"/>
  <c r="C102" i="8"/>
  <c r="O101" i="8"/>
  <c r="N101" i="8"/>
  <c r="L101" i="8"/>
  <c r="K101" i="8"/>
  <c r="J101" i="8"/>
  <c r="M101" i="8" s="1"/>
  <c r="E101" i="8"/>
  <c r="C101" i="8"/>
  <c r="L100" i="8"/>
  <c r="O100" i="8" s="1"/>
  <c r="K100" i="8"/>
  <c r="N100" i="8" s="1"/>
  <c r="J100" i="8"/>
  <c r="M100" i="8" s="1"/>
  <c r="E100" i="8"/>
  <c r="C100" i="8"/>
  <c r="N99" i="8"/>
  <c r="M99" i="8"/>
  <c r="L99" i="8"/>
  <c r="O99" i="8" s="1"/>
  <c r="K99" i="8"/>
  <c r="J99" i="8"/>
  <c r="E99" i="8"/>
  <c r="D99" i="8"/>
  <c r="C99" i="8"/>
  <c r="N98" i="8"/>
  <c r="M98" i="8"/>
  <c r="L98" i="8"/>
  <c r="O98" i="8" s="1"/>
  <c r="K98" i="8"/>
  <c r="J98" i="8"/>
  <c r="E98" i="8"/>
  <c r="D98" i="8"/>
  <c r="C98" i="8"/>
  <c r="O97" i="8"/>
  <c r="L97" i="8"/>
  <c r="K97" i="8"/>
  <c r="N97" i="8" s="1"/>
  <c r="J97" i="8"/>
  <c r="M97" i="8" s="1"/>
  <c r="E97" i="8"/>
  <c r="C97" i="8"/>
  <c r="O96" i="8"/>
  <c r="M96" i="8"/>
  <c r="L96" i="8"/>
  <c r="K96" i="8"/>
  <c r="N96" i="8" s="1"/>
  <c r="J96" i="8"/>
  <c r="E96" i="8"/>
  <c r="C96" i="8"/>
  <c r="M95" i="8"/>
  <c r="L95" i="8"/>
  <c r="O95" i="8" s="1"/>
  <c r="K95" i="8"/>
  <c r="N95" i="8" s="1"/>
  <c r="J95" i="8"/>
  <c r="E95" i="8"/>
  <c r="D95" i="8"/>
  <c r="C95" i="8"/>
  <c r="O94" i="8"/>
  <c r="N94" i="8"/>
  <c r="L94" i="8"/>
  <c r="K94" i="8"/>
  <c r="J94" i="8"/>
  <c r="M94" i="8" s="1"/>
  <c r="E94" i="8"/>
  <c r="D94" i="8"/>
  <c r="C94" i="8"/>
  <c r="O93" i="8"/>
  <c r="N93" i="8"/>
  <c r="L93" i="8"/>
  <c r="K93" i="8"/>
  <c r="J93" i="8"/>
  <c r="M93" i="8" s="1"/>
  <c r="E93" i="8"/>
  <c r="C93" i="8"/>
  <c r="L92" i="8"/>
  <c r="O92" i="8" s="1"/>
  <c r="K92" i="8"/>
  <c r="N92" i="8" s="1"/>
  <c r="J92" i="8"/>
  <c r="M92" i="8" s="1"/>
  <c r="E92" i="8"/>
  <c r="C92" i="8"/>
  <c r="N91" i="8"/>
  <c r="M91" i="8"/>
  <c r="L91" i="8"/>
  <c r="O91" i="8" s="1"/>
  <c r="K91" i="8"/>
  <c r="J91" i="8"/>
  <c r="E91" i="8"/>
  <c r="D91" i="8"/>
  <c r="C91" i="8"/>
  <c r="O90" i="8"/>
  <c r="N90" i="8"/>
  <c r="M90" i="8"/>
  <c r="L90" i="8"/>
  <c r="K90" i="8"/>
  <c r="J90" i="8"/>
  <c r="E90" i="8"/>
  <c r="D90" i="8"/>
  <c r="C90" i="8"/>
  <c r="O89" i="8"/>
  <c r="L89" i="8"/>
  <c r="K89" i="8"/>
  <c r="N89" i="8" s="1"/>
  <c r="J89" i="8"/>
  <c r="M89" i="8" s="1"/>
  <c r="E89" i="8"/>
  <c r="C89" i="8"/>
  <c r="O88" i="8"/>
  <c r="M88" i="8"/>
  <c r="L88" i="8"/>
  <c r="K88" i="8"/>
  <c r="N88" i="8" s="1"/>
  <c r="J88" i="8"/>
  <c r="E88" i="8"/>
  <c r="C88" i="8"/>
  <c r="N87" i="8"/>
  <c r="M87" i="8"/>
  <c r="L87" i="8"/>
  <c r="O87" i="8" s="1"/>
  <c r="K87" i="8"/>
  <c r="J87" i="8"/>
  <c r="E87" i="8"/>
  <c r="D87" i="8"/>
  <c r="C87" i="8"/>
  <c r="O86" i="8"/>
  <c r="N86" i="8"/>
  <c r="L86" i="8"/>
  <c r="K86" i="8"/>
  <c r="J86" i="8"/>
  <c r="M86" i="8" s="1"/>
  <c r="E86" i="8"/>
  <c r="D86" i="8"/>
  <c r="C86" i="8"/>
  <c r="O85" i="8"/>
  <c r="N85" i="8"/>
  <c r="L85" i="8"/>
  <c r="K85" i="8"/>
  <c r="J85" i="8"/>
  <c r="M85" i="8" s="1"/>
  <c r="E85" i="8"/>
  <c r="C85" i="8"/>
  <c r="M84" i="8"/>
  <c r="L84" i="8"/>
  <c r="O84" i="8" s="1"/>
  <c r="K84" i="8"/>
  <c r="N84" i="8" s="1"/>
  <c r="J84" i="8"/>
  <c r="E84" i="8"/>
  <c r="D84" i="8"/>
  <c r="C84" i="8"/>
  <c r="N83" i="8"/>
  <c r="M83" i="8"/>
  <c r="L83" i="8"/>
  <c r="O83" i="8" s="1"/>
  <c r="K83" i="8"/>
  <c r="J83" i="8"/>
  <c r="E83" i="8"/>
  <c r="D83" i="8"/>
  <c r="C83" i="8"/>
  <c r="O82" i="8"/>
  <c r="N82" i="8"/>
  <c r="M82" i="8"/>
  <c r="L82" i="8"/>
  <c r="K82" i="8"/>
  <c r="J82" i="8"/>
  <c r="E82" i="8"/>
  <c r="D82" i="8"/>
  <c r="C82" i="8"/>
  <c r="O81" i="8"/>
  <c r="L81" i="8"/>
  <c r="K81" i="8"/>
  <c r="N81" i="8" s="1"/>
  <c r="J81" i="8"/>
  <c r="M81" i="8" s="1"/>
  <c r="E81" i="8"/>
  <c r="D81" i="8"/>
  <c r="C81" i="8"/>
  <c r="B81" i="8"/>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O80" i="8"/>
  <c r="M80" i="8"/>
  <c r="L80" i="8"/>
  <c r="K80" i="8"/>
  <c r="N80" i="8" s="1"/>
  <c r="J80" i="8"/>
  <c r="E80" i="8"/>
  <c r="C80" i="8"/>
  <c r="B80" i="8"/>
  <c r="N79" i="8"/>
  <c r="M79" i="8"/>
  <c r="L79" i="8"/>
  <c r="O79" i="8" s="1"/>
  <c r="K79" i="8"/>
  <c r="J79" i="8"/>
  <c r="E79" i="8"/>
  <c r="D79" i="8"/>
  <c r="C79" i="8"/>
  <c r="B79" i="8"/>
  <c r="M105" i="7"/>
  <c r="K105" i="7"/>
  <c r="J105" i="7"/>
  <c r="I105" i="7"/>
  <c r="H105" i="7"/>
  <c r="G105" i="7"/>
  <c r="F105" i="7"/>
  <c r="E105" i="7"/>
  <c r="D105" i="7"/>
  <c r="C105" i="7"/>
  <c r="L105" i="7" s="1"/>
  <c r="M104" i="7"/>
  <c r="K104" i="7"/>
  <c r="J104" i="7"/>
  <c r="I104" i="7"/>
  <c r="H104" i="7"/>
  <c r="G104" i="7"/>
  <c r="F104" i="7"/>
  <c r="E104" i="7"/>
  <c r="D104" i="7"/>
  <c r="L104" i="7" s="1"/>
  <c r="C104" i="7"/>
  <c r="M103" i="7"/>
  <c r="K103" i="7"/>
  <c r="J103" i="7"/>
  <c r="I103" i="7"/>
  <c r="H103" i="7"/>
  <c r="G103" i="7"/>
  <c r="F103" i="7"/>
  <c r="E103" i="7"/>
  <c r="D103" i="7"/>
  <c r="C103" i="7"/>
  <c r="L103" i="7" s="1"/>
  <c r="M102" i="7"/>
  <c r="K102" i="7"/>
  <c r="J102" i="7"/>
  <c r="I102" i="7"/>
  <c r="H102" i="7"/>
  <c r="G102" i="7"/>
  <c r="F102" i="7"/>
  <c r="E102" i="7"/>
  <c r="D102" i="7"/>
  <c r="C102" i="7"/>
  <c r="L102" i="7" s="1"/>
  <c r="M101" i="7"/>
  <c r="K101" i="7"/>
  <c r="J101" i="7"/>
  <c r="I101" i="7"/>
  <c r="H101" i="7"/>
  <c r="G101" i="7"/>
  <c r="F101" i="7"/>
  <c r="E101" i="7"/>
  <c r="D101" i="7"/>
  <c r="C101" i="7"/>
  <c r="L101" i="7" s="1"/>
  <c r="M100" i="7"/>
  <c r="K100" i="7"/>
  <c r="J100" i="7"/>
  <c r="I100" i="7"/>
  <c r="H100" i="7"/>
  <c r="G100" i="7"/>
  <c r="F100" i="7"/>
  <c r="E100" i="7"/>
  <c r="D100" i="7"/>
  <c r="C100" i="7"/>
  <c r="L100" i="7" s="1"/>
  <c r="M99" i="7"/>
  <c r="K99" i="7"/>
  <c r="J99" i="7"/>
  <c r="I99" i="7"/>
  <c r="H99" i="7"/>
  <c r="G99" i="7"/>
  <c r="F99" i="7"/>
  <c r="E99" i="7"/>
  <c r="D99" i="7"/>
  <c r="C99" i="7"/>
  <c r="L99" i="7" s="1"/>
  <c r="M98" i="7"/>
  <c r="K98" i="7"/>
  <c r="J98" i="7"/>
  <c r="I98" i="7"/>
  <c r="H98" i="7"/>
  <c r="G98" i="7"/>
  <c r="F98" i="7"/>
  <c r="E98" i="7"/>
  <c r="D98" i="7"/>
  <c r="C98" i="7"/>
  <c r="L98" i="7" s="1"/>
  <c r="M97" i="7"/>
  <c r="K97" i="7"/>
  <c r="J97" i="7"/>
  <c r="I97" i="7"/>
  <c r="H97" i="7"/>
  <c r="G97" i="7"/>
  <c r="F97" i="7"/>
  <c r="E97" i="7"/>
  <c r="D97" i="7"/>
  <c r="L97" i="7" s="1"/>
  <c r="C97" i="7"/>
  <c r="M96" i="7"/>
  <c r="K96" i="7"/>
  <c r="J96" i="7"/>
  <c r="I96" i="7"/>
  <c r="H96" i="7"/>
  <c r="G96" i="7"/>
  <c r="F96" i="7"/>
  <c r="E96" i="7"/>
  <c r="D96" i="7"/>
  <c r="L96" i="7" s="1"/>
  <c r="C96" i="7"/>
  <c r="M95" i="7"/>
  <c r="K95" i="7"/>
  <c r="J95" i="7"/>
  <c r="I95" i="7"/>
  <c r="H95" i="7"/>
  <c r="G95" i="7"/>
  <c r="F95" i="7"/>
  <c r="E95" i="7"/>
  <c r="D95" i="7"/>
  <c r="L95" i="7" s="1"/>
  <c r="C95" i="7"/>
  <c r="M94" i="7"/>
  <c r="K94" i="7"/>
  <c r="J94" i="7"/>
  <c r="I94" i="7"/>
  <c r="H94" i="7"/>
  <c r="G94" i="7"/>
  <c r="F94" i="7"/>
  <c r="E94" i="7"/>
  <c r="D94" i="7"/>
  <c r="C94" i="7"/>
  <c r="L94" i="7" s="1"/>
  <c r="M93" i="7"/>
  <c r="K93" i="7"/>
  <c r="J93" i="7"/>
  <c r="I93" i="7"/>
  <c r="H93" i="7"/>
  <c r="G93" i="7"/>
  <c r="F93" i="7"/>
  <c r="E93" i="7"/>
  <c r="D93" i="7"/>
  <c r="C93" i="7"/>
  <c r="L93" i="7" s="1"/>
  <c r="M92" i="7"/>
  <c r="K92" i="7"/>
  <c r="J92" i="7"/>
  <c r="I92" i="7"/>
  <c r="H92" i="7"/>
  <c r="G92" i="7"/>
  <c r="F92" i="7"/>
  <c r="E92" i="7"/>
  <c r="D92" i="7"/>
  <c r="C92" i="7"/>
  <c r="L92" i="7" s="1"/>
  <c r="M91" i="7"/>
  <c r="K91" i="7"/>
  <c r="J91" i="7"/>
  <c r="I91" i="7"/>
  <c r="H91" i="7"/>
  <c r="G91" i="7"/>
  <c r="F91" i="7"/>
  <c r="E91" i="7"/>
  <c r="D91" i="7"/>
  <c r="C91" i="7"/>
  <c r="L91" i="7" s="1"/>
  <c r="M90" i="7"/>
  <c r="K90" i="7"/>
  <c r="J90" i="7"/>
  <c r="I90" i="7"/>
  <c r="H90" i="7"/>
  <c r="G90" i="7"/>
  <c r="F90" i="7"/>
  <c r="E90" i="7"/>
  <c r="D90" i="7"/>
  <c r="C90" i="7"/>
  <c r="L90" i="7" s="1"/>
  <c r="M89" i="7"/>
  <c r="K89" i="7"/>
  <c r="J89" i="7"/>
  <c r="I89" i="7"/>
  <c r="H89" i="7"/>
  <c r="G89" i="7"/>
  <c r="F89" i="7"/>
  <c r="E89" i="7"/>
  <c r="D89" i="7"/>
  <c r="L89" i="7" s="1"/>
  <c r="C89" i="7"/>
  <c r="M88" i="7"/>
  <c r="K88" i="7"/>
  <c r="J88" i="7"/>
  <c r="I88" i="7"/>
  <c r="H88" i="7"/>
  <c r="G88" i="7"/>
  <c r="F88" i="7"/>
  <c r="E88" i="7"/>
  <c r="D88" i="7"/>
  <c r="L88" i="7" s="1"/>
  <c r="C88" i="7"/>
  <c r="M87" i="7"/>
  <c r="K87" i="7"/>
  <c r="J87" i="7"/>
  <c r="I87" i="7"/>
  <c r="H87" i="7"/>
  <c r="G87" i="7"/>
  <c r="F87" i="7"/>
  <c r="E87" i="7"/>
  <c r="D87" i="7"/>
  <c r="L87" i="7" s="1"/>
  <c r="C87" i="7"/>
  <c r="M86" i="7"/>
  <c r="K86" i="7"/>
  <c r="J86" i="7"/>
  <c r="I86" i="7"/>
  <c r="H86" i="7"/>
  <c r="G86" i="7"/>
  <c r="F86" i="7"/>
  <c r="E86" i="7"/>
  <c r="D86" i="7"/>
  <c r="L86" i="7" s="1"/>
  <c r="C86" i="7"/>
  <c r="M85" i="7"/>
  <c r="K85" i="7"/>
  <c r="J85" i="7"/>
  <c r="I85" i="7"/>
  <c r="H85" i="7"/>
  <c r="G85" i="7"/>
  <c r="F85" i="7"/>
  <c r="E85" i="7"/>
  <c r="D85" i="7"/>
  <c r="C85" i="7"/>
  <c r="L85" i="7" s="1"/>
  <c r="M84" i="7"/>
  <c r="K84" i="7"/>
  <c r="J84" i="7"/>
  <c r="I84" i="7"/>
  <c r="H84" i="7"/>
  <c r="G84" i="7"/>
  <c r="F84" i="7"/>
  <c r="E84" i="7"/>
  <c r="D84" i="7"/>
  <c r="C84" i="7"/>
  <c r="L84" i="7" s="1"/>
  <c r="M83" i="7"/>
  <c r="K83" i="7"/>
  <c r="J83" i="7"/>
  <c r="I83" i="7"/>
  <c r="H83" i="7"/>
  <c r="G83" i="7"/>
  <c r="F83" i="7"/>
  <c r="E83" i="7"/>
  <c r="D83" i="7"/>
  <c r="C83" i="7"/>
  <c r="L83" i="7" s="1"/>
  <c r="M82" i="7"/>
  <c r="K82" i="7"/>
  <c r="J82" i="7"/>
  <c r="I82" i="7"/>
  <c r="H82" i="7"/>
  <c r="G82" i="7"/>
  <c r="F82" i="7"/>
  <c r="E82" i="7"/>
  <c r="D82" i="7"/>
  <c r="C82" i="7"/>
  <c r="L82" i="7" s="1"/>
  <c r="B82" i="7"/>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F102" i="6"/>
  <c r="F101" i="6"/>
  <c r="F100" i="6"/>
  <c r="F99" i="6"/>
  <c r="F98" i="6"/>
  <c r="F97" i="6"/>
  <c r="F96" i="6"/>
  <c r="F95" i="6"/>
  <c r="F94" i="6"/>
  <c r="F93" i="6"/>
  <c r="F92" i="6"/>
  <c r="F91" i="6"/>
  <c r="F90" i="6"/>
  <c r="F89" i="6"/>
  <c r="F88" i="6"/>
  <c r="F87" i="6"/>
  <c r="F86" i="6"/>
  <c r="F85" i="6"/>
  <c r="F84" i="6"/>
  <c r="F83" i="6"/>
  <c r="F82" i="6"/>
  <c r="F81" i="6"/>
  <c r="F80" i="6"/>
  <c r="B80" i="6"/>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F79" i="6"/>
  <c r="B79" i="6"/>
  <c r="L101" i="5"/>
  <c r="K101" i="5"/>
  <c r="J101" i="5"/>
  <c r="H101" i="5"/>
  <c r="G101" i="5"/>
  <c r="F101" i="5"/>
  <c r="C109" i="15" s="1"/>
  <c r="E101" i="5"/>
  <c r="C109" i="14" s="1"/>
  <c r="D101" i="5"/>
  <c r="C101" i="5"/>
  <c r="L100" i="5"/>
  <c r="K100" i="5"/>
  <c r="J100" i="5"/>
  <c r="H100" i="5"/>
  <c r="C108" i="17" s="1"/>
  <c r="G100" i="5"/>
  <c r="C108" i="16" s="1"/>
  <c r="F100" i="5"/>
  <c r="E100" i="5"/>
  <c r="D100" i="5"/>
  <c r="C100" i="5"/>
  <c r="L99" i="5"/>
  <c r="K99" i="5"/>
  <c r="J99" i="5"/>
  <c r="B107" i="19" s="1"/>
  <c r="H99" i="5"/>
  <c r="G99" i="5"/>
  <c r="F99" i="5"/>
  <c r="E99" i="5"/>
  <c r="D99" i="5"/>
  <c r="C99" i="5"/>
  <c r="L98" i="5"/>
  <c r="K98" i="5"/>
  <c r="J98" i="5"/>
  <c r="H98" i="5"/>
  <c r="G98" i="5"/>
  <c r="F98" i="5"/>
  <c r="E98" i="5"/>
  <c r="D98" i="5"/>
  <c r="C106" i="13" s="1"/>
  <c r="C98" i="5"/>
  <c r="L97" i="5"/>
  <c r="K97" i="5"/>
  <c r="J97" i="5"/>
  <c r="H97" i="5"/>
  <c r="G97" i="5"/>
  <c r="F97" i="5"/>
  <c r="C105" i="15" s="1"/>
  <c r="E97" i="5"/>
  <c r="D97" i="5"/>
  <c r="C97" i="5"/>
  <c r="L96" i="5"/>
  <c r="K96" i="5"/>
  <c r="J96" i="5"/>
  <c r="H96" i="5"/>
  <c r="C104" i="17" s="1"/>
  <c r="G96" i="5"/>
  <c r="C104" i="16" s="1"/>
  <c r="F96" i="5"/>
  <c r="E96" i="5"/>
  <c r="D96" i="5"/>
  <c r="C96" i="5"/>
  <c r="L95" i="5"/>
  <c r="K95" i="5"/>
  <c r="J95" i="5"/>
  <c r="H95" i="5"/>
  <c r="G95" i="5"/>
  <c r="F95" i="5"/>
  <c r="E95" i="5"/>
  <c r="D95" i="5"/>
  <c r="C95" i="5"/>
  <c r="L94" i="5"/>
  <c r="K94" i="5"/>
  <c r="J94" i="5"/>
  <c r="H94" i="5"/>
  <c r="G94" i="5"/>
  <c r="F94" i="5"/>
  <c r="E94" i="5"/>
  <c r="D94" i="5"/>
  <c r="C102" i="13" s="1"/>
  <c r="C94" i="5"/>
  <c r="C102" i="12" s="1"/>
  <c r="L93" i="5"/>
  <c r="K93" i="5"/>
  <c r="J93" i="5"/>
  <c r="H93" i="5"/>
  <c r="G93" i="5"/>
  <c r="F93" i="5"/>
  <c r="C101" i="15" s="1"/>
  <c r="E93" i="5"/>
  <c r="C101" i="14" s="1"/>
  <c r="D93" i="5"/>
  <c r="C93" i="5"/>
  <c r="L92" i="5"/>
  <c r="K92" i="5"/>
  <c r="J92" i="5"/>
  <c r="H92" i="5"/>
  <c r="G92" i="5"/>
  <c r="F92" i="5"/>
  <c r="E92" i="5"/>
  <c r="D92" i="5"/>
  <c r="C92" i="5"/>
  <c r="L91" i="5"/>
  <c r="K91" i="5"/>
  <c r="J91" i="5"/>
  <c r="B99" i="19" s="1"/>
  <c r="H91" i="5"/>
  <c r="G91" i="5"/>
  <c r="F91" i="5"/>
  <c r="E91" i="5"/>
  <c r="D91" i="5"/>
  <c r="C91" i="5"/>
  <c r="L90" i="5"/>
  <c r="C98" i="20" s="1"/>
  <c r="K90" i="5"/>
  <c r="J90" i="5"/>
  <c r="H90" i="5"/>
  <c r="G90" i="5"/>
  <c r="F90" i="5"/>
  <c r="E90" i="5"/>
  <c r="D90" i="5"/>
  <c r="C98" i="13" s="1"/>
  <c r="C90" i="5"/>
  <c r="C98" i="12" s="1"/>
  <c r="L89" i="5"/>
  <c r="K89" i="5"/>
  <c r="J89" i="5"/>
  <c r="H89" i="5"/>
  <c r="G89" i="5"/>
  <c r="F89" i="5"/>
  <c r="C97" i="15" s="1"/>
  <c r="E89" i="5"/>
  <c r="C97" i="14" s="1"/>
  <c r="D89" i="5"/>
  <c r="C89" i="5"/>
  <c r="L88" i="5"/>
  <c r="K88" i="5"/>
  <c r="J88" i="5"/>
  <c r="H88" i="5"/>
  <c r="G88" i="5"/>
  <c r="F88" i="5"/>
  <c r="E88" i="5"/>
  <c r="D88" i="5"/>
  <c r="C88" i="5"/>
  <c r="L87" i="5"/>
  <c r="K87" i="5"/>
  <c r="J87" i="5"/>
  <c r="B95" i="19" s="1"/>
  <c r="H87" i="5"/>
  <c r="G87" i="5"/>
  <c r="F87" i="5"/>
  <c r="E87" i="5"/>
  <c r="D87" i="5"/>
  <c r="C87" i="5"/>
  <c r="L86" i="5"/>
  <c r="C94" i="20" s="1"/>
  <c r="K86" i="5"/>
  <c r="J86" i="5"/>
  <c r="H86" i="5"/>
  <c r="G86" i="5"/>
  <c r="F86" i="5"/>
  <c r="E86" i="5"/>
  <c r="D86" i="5"/>
  <c r="C94" i="13" s="1"/>
  <c r="C86" i="5"/>
  <c r="C94" i="12" s="1"/>
  <c r="L85" i="5"/>
  <c r="K85" i="5"/>
  <c r="J85" i="5"/>
  <c r="H85" i="5"/>
  <c r="G85" i="5"/>
  <c r="F85" i="5"/>
  <c r="C93" i="15" s="1"/>
  <c r="E85" i="5"/>
  <c r="C93" i="14" s="1"/>
  <c r="D85" i="5"/>
  <c r="C85" i="5"/>
  <c r="L84" i="5"/>
  <c r="K84" i="5"/>
  <c r="J84" i="5"/>
  <c r="H84" i="5"/>
  <c r="C92" i="17" s="1"/>
  <c r="G84" i="5"/>
  <c r="C92" i="16" s="1"/>
  <c r="F84" i="5"/>
  <c r="E84" i="5"/>
  <c r="D84" i="5"/>
  <c r="C84" i="5"/>
  <c r="L83" i="5"/>
  <c r="K83" i="5"/>
  <c r="J83" i="5"/>
  <c r="B91" i="19" s="1"/>
  <c r="H83" i="5"/>
  <c r="G83" i="5"/>
  <c r="F83" i="5"/>
  <c r="E83" i="5"/>
  <c r="D83" i="5"/>
  <c r="C83" i="5"/>
  <c r="L82" i="5"/>
  <c r="C90" i="20" s="1"/>
  <c r="K82" i="5"/>
  <c r="J82" i="5"/>
  <c r="H82" i="5"/>
  <c r="G82" i="5"/>
  <c r="F82" i="5"/>
  <c r="E82" i="5"/>
  <c r="D82" i="5"/>
  <c r="C90" i="13" s="1"/>
  <c r="C82" i="5"/>
  <c r="C90" i="12" s="1"/>
  <c r="L81" i="5"/>
  <c r="K81" i="5"/>
  <c r="J81" i="5"/>
  <c r="H81" i="5"/>
  <c r="G81" i="5"/>
  <c r="F81" i="5"/>
  <c r="E81" i="5"/>
  <c r="C89" i="14" s="1"/>
  <c r="D81" i="5"/>
  <c r="C81" i="5"/>
  <c r="L80" i="5"/>
  <c r="K80" i="5"/>
  <c r="J80" i="5"/>
  <c r="H80" i="5"/>
  <c r="C88" i="17" s="1"/>
  <c r="G80" i="5"/>
  <c r="C88" i="16" s="1"/>
  <c r="F80" i="5"/>
  <c r="E80" i="5"/>
  <c r="D80" i="5"/>
  <c r="C80" i="5"/>
  <c r="L79" i="5"/>
  <c r="K79" i="5"/>
  <c r="J79" i="5"/>
  <c r="B87" i="19" s="1"/>
  <c r="H79" i="5"/>
  <c r="G79" i="5"/>
  <c r="F79" i="5"/>
  <c r="E79" i="5"/>
  <c r="D79" i="5"/>
  <c r="C79" i="5"/>
  <c r="B79" i="5"/>
  <c r="B87" i="18" s="1"/>
  <c r="L78" i="5"/>
  <c r="C86" i="20" s="1"/>
  <c r="K78" i="5"/>
  <c r="J78" i="5"/>
  <c r="H78" i="5"/>
  <c r="G78" i="5"/>
  <c r="F78" i="5"/>
  <c r="E78" i="5"/>
  <c r="D78" i="5"/>
  <c r="C86" i="13" s="1"/>
  <c r="C78" i="5"/>
  <c r="C86" i="12" s="1"/>
  <c r="B78" i="5"/>
  <c r="M108" i="3"/>
  <c r="L108" i="3"/>
  <c r="K108" i="3"/>
  <c r="J108" i="3"/>
  <c r="I108" i="3"/>
  <c r="S108" i="3" s="1"/>
  <c r="D109" i="20" s="1"/>
  <c r="G108" i="3"/>
  <c r="F108" i="3"/>
  <c r="E108" i="3"/>
  <c r="D108" i="3"/>
  <c r="C108" i="3"/>
  <c r="H108" i="3" s="1"/>
  <c r="M107" i="3"/>
  <c r="L107" i="3"/>
  <c r="K107" i="3"/>
  <c r="J107" i="3"/>
  <c r="I107" i="3"/>
  <c r="N107" i="3" s="1"/>
  <c r="H107" i="3"/>
  <c r="G107" i="3"/>
  <c r="F107" i="3"/>
  <c r="E107" i="3"/>
  <c r="D107" i="3"/>
  <c r="C107" i="3"/>
  <c r="R107" i="3" s="1"/>
  <c r="S106" i="3"/>
  <c r="M106" i="3"/>
  <c r="L106" i="3"/>
  <c r="K106" i="3"/>
  <c r="J106" i="3"/>
  <c r="I106" i="3"/>
  <c r="N106" i="3" s="1"/>
  <c r="H106" i="3"/>
  <c r="G106" i="3"/>
  <c r="R106" i="3" s="1"/>
  <c r="F106" i="3"/>
  <c r="E106" i="3"/>
  <c r="D106" i="3"/>
  <c r="C106" i="3"/>
  <c r="S105" i="3"/>
  <c r="D106" i="20" s="1"/>
  <c r="R105" i="3"/>
  <c r="D106" i="12" s="1"/>
  <c r="N105" i="3"/>
  <c r="M105" i="3"/>
  <c r="L105" i="3"/>
  <c r="K105" i="3"/>
  <c r="J105" i="3"/>
  <c r="I105" i="3"/>
  <c r="G105" i="3"/>
  <c r="H105" i="3" s="1"/>
  <c r="F105" i="3"/>
  <c r="E105" i="3"/>
  <c r="D105" i="3"/>
  <c r="C105" i="3"/>
  <c r="N104" i="3"/>
  <c r="M104" i="3"/>
  <c r="S104" i="3" s="1"/>
  <c r="D105" i="20" s="1"/>
  <c r="L104" i="3"/>
  <c r="K104" i="3"/>
  <c r="J104" i="3"/>
  <c r="I104" i="3"/>
  <c r="G104" i="3"/>
  <c r="F104" i="3"/>
  <c r="R104" i="3" s="1"/>
  <c r="E104" i="3"/>
  <c r="H104" i="3" s="1"/>
  <c r="D104" i="3"/>
  <c r="C104" i="3"/>
  <c r="M103" i="3"/>
  <c r="N103" i="3" s="1"/>
  <c r="L103" i="3"/>
  <c r="K103" i="3"/>
  <c r="J103" i="3"/>
  <c r="I103" i="3"/>
  <c r="S103" i="3" s="1"/>
  <c r="D104" i="20" s="1"/>
  <c r="G103" i="3"/>
  <c r="F103" i="3"/>
  <c r="E103" i="3"/>
  <c r="D103" i="3"/>
  <c r="H103" i="3" s="1"/>
  <c r="C103" i="3"/>
  <c r="M102" i="3"/>
  <c r="L102" i="3"/>
  <c r="K102" i="3"/>
  <c r="N102" i="3" s="1"/>
  <c r="J102" i="3"/>
  <c r="I102" i="3"/>
  <c r="S102" i="3" s="1"/>
  <c r="D103" i="20" s="1"/>
  <c r="G102" i="3"/>
  <c r="F102" i="3"/>
  <c r="E102" i="3"/>
  <c r="D102" i="3"/>
  <c r="C102" i="3"/>
  <c r="H102" i="3" s="1"/>
  <c r="M101" i="3"/>
  <c r="L101" i="3"/>
  <c r="K101" i="3"/>
  <c r="J101" i="3"/>
  <c r="N101" i="3" s="1"/>
  <c r="I101" i="3"/>
  <c r="S101" i="3" s="1"/>
  <c r="D102" i="20" s="1"/>
  <c r="G101" i="3"/>
  <c r="F101" i="3"/>
  <c r="E101" i="3"/>
  <c r="D101" i="3"/>
  <c r="C101" i="3"/>
  <c r="H101" i="3" s="1"/>
  <c r="M100" i="3"/>
  <c r="L100" i="3"/>
  <c r="K100" i="3"/>
  <c r="J100" i="3"/>
  <c r="I100" i="3"/>
  <c r="S100" i="3" s="1"/>
  <c r="D101" i="20" s="1"/>
  <c r="G100" i="3"/>
  <c r="F100" i="3"/>
  <c r="E100" i="3"/>
  <c r="D100" i="3"/>
  <c r="C100" i="3"/>
  <c r="H100" i="3" s="1"/>
  <c r="M99" i="3"/>
  <c r="L99" i="3"/>
  <c r="K99" i="3"/>
  <c r="J99" i="3"/>
  <c r="I99" i="3"/>
  <c r="N99" i="3" s="1"/>
  <c r="H99" i="3"/>
  <c r="G99" i="3"/>
  <c r="F99" i="3"/>
  <c r="E99" i="3"/>
  <c r="D99" i="3"/>
  <c r="C99" i="3"/>
  <c r="R99" i="3" s="1"/>
  <c r="S98" i="3"/>
  <c r="M98" i="3"/>
  <c r="L98" i="3"/>
  <c r="K98" i="3"/>
  <c r="J98" i="3"/>
  <c r="I98" i="3"/>
  <c r="N98" i="3" s="1"/>
  <c r="H98" i="3"/>
  <c r="G98" i="3"/>
  <c r="R98" i="3" s="1"/>
  <c r="F98" i="3"/>
  <c r="E98" i="3"/>
  <c r="D98" i="3"/>
  <c r="C98" i="3"/>
  <c r="S97" i="3"/>
  <c r="D98" i="20" s="1"/>
  <c r="N97" i="3"/>
  <c r="M97" i="3"/>
  <c r="L97" i="3"/>
  <c r="K97" i="3"/>
  <c r="J97" i="3"/>
  <c r="I97" i="3"/>
  <c r="G97" i="3"/>
  <c r="R97" i="3" s="1"/>
  <c r="F97" i="3"/>
  <c r="E97" i="3"/>
  <c r="D97" i="3"/>
  <c r="C97" i="3"/>
  <c r="N96" i="3"/>
  <c r="M96" i="3"/>
  <c r="S96" i="3" s="1"/>
  <c r="D97" i="20" s="1"/>
  <c r="L96" i="3"/>
  <c r="K96" i="3"/>
  <c r="J96" i="3"/>
  <c r="I96" i="3"/>
  <c r="G96" i="3"/>
  <c r="F96" i="3"/>
  <c r="R96" i="3" s="1"/>
  <c r="E96" i="3"/>
  <c r="H96" i="3" s="1"/>
  <c r="D96" i="3"/>
  <c r="C96" i="3"/>
  <c r="M95" i="3"/>
  <c r="N95" i="3" s="1"/>
  <c r="L95" i="3"/>
  <c r="K95" i="3"/>
  <c r="J95" i="3"/>
  <c r="I95" i="3"/>
  <c r="S95" i="3" s="1"/>
  <c r="D96" i="20" s="1"/>
  <c r="G95" i="3"/>
  <c r="F95" i="3"/>
  <c r="E95" i="3"/>
  <c r="D95" i="3"/>
  <c r="H95" i="3" s="1"/>
  <c r="C95" i="3"/>
  <c r="M94" i="3"/>
  <c r="L94" i="3"/>
  <c r="K94" i="3"/>
  <c r="N94" i="3" s="1"/>
  <c r="J94" i="3"/>
  <c r="I94" i="3"/>
  <c r="S94" i="3" s="1"/>
  <c r="D95" i="20" s="1"/>
  <c r="G94" i="3"/>
  <c r="F94" i="3"/>
  <c r="E94" i="3"/>
  <c r="D94" i="3"/>
  <c r="C94" i="3"/>
  <c r="H94" i="3" s="1"/>
  <c r="M93" i="3"/>
  <c r="L93" i="3"/>
  <c r="K93" i="3"/>
  <c r="J93" i="3"/>
  <c r="N93" i="3" s="1"/>
  <c r="I93" i="3"/>
  <c r="S93" i="3" s="1"/>
  <c r="D94" i="20" s="1"/>
  <c r="G93" i="3"/>
  <c r="F93" i="3"/>
  <c r="E93" i="3"/>
  <c r="D93" i="3"/>
  <c r="C93" i="3"/>
  <c r="H93" i="3" s="1"/>
  <c r="M92" i="3"/>
  <c r="L92" i="3"/>
  <c r="K92" i="3"/>
  <c r="J92" i="3"/>
  <c r="I92" i="3"/>
  <c r="S92" i="3" s="1"/>
  <c r="D93" i="20" s="1"/>
  <c r="G92" i="3"/>
  <c r="F92" i="3"/>
  <c r="E92" i="3"/>
  <c r="D92" i="3"/>
  <c r="C92" i="3"/>
  <c r="H92" i="3" s="1"/>
  <c r="M91" i="3"/>
  <c r="L91" i="3"/>
  <c r="K91" i="3"/>
  <c r="J91" i="3"/>
  <c r="I91" i="3"/>
  <c r="N91" i="3" s="1"/>
  <c r="G91" i="3"/>
  <c r="F91" i="3"/>
  <c r="E91" i="3"/>
  <c r="D91" i="3"/>
  <c r="C91" i="3"/>
  <c r="R91" i="3" s="1"/>
  <c r="S90" i="3"/>
  <c r="M90" i="3"/>
  <c r="L90" i="3"/>
  <c r="K90" i="3"/>
  <c r="J90" i="3"/>
  <c r="I90" i="3"/>
  <c r="N90" i="3" s="1"/>
  <c r="H90" i="3"/>
  <c r="G90" i="3"/>
  <c r="R90" i="3" s="1"/>
  <c r="F90" i="3"/>
  <c r="E90" i="3"/>
  <c r="D90" i="3"/>
  <c r="C90" i="3"/>
  <c r="S89" i="3"/>
  <c r="D90" i="20" s="1"/>
  <c r="R89" i="3"/>
  <c r="D90" i="12" s="1"/>
  <c r="N89" i="3"/>
  <c r="M89" i="3"/>
  <c r="L89" i="3"/>
  <c r="K89" i="3"/>
  <c r="J89" i="3"/>
  <c r="I89" i="3"/>
  <c r="G89" i="3"/>
  <c r="H89" i="3" s="1"/>
  <c r="F89" i="3"/>
  <c r="E89" i="3"/>
  <c r="D89" i="3"/>
  <c r="C89" i="3"/>
  <c r="N88" i="3"/>
  <c r="M88" i="3"/>
  <c r="S88" i="3" s="1"/>
  <c r="D89" i="20" s="1"/>
  <c r="L88" i="3"/>
  <c r="K88" i="3"/>
  <c r="J88" i="3"/>
  <c r="I88" i="3"/>
  <c r="G88" i="3"/>
  <c r="F88" i="3"/>
  <c r="R88" i="3" s="1"/>
  <c r="E88" i="3"/>
  <c r="H88" i="3" s="1"/>
  <c r="D88" i="3"/>
  <c r="C88" i="3"/>
  <c r="M87" i="3"/>
  <c r="N87" i="3" s="1"/>
  <c r="L87" i="3"/>
  <c r="K87" i="3"/>
  <c r="J87" i="3"/>
  <c r="I87" i="3"/>
  <c r="S87" i="3" s="1"/>
  <c r="D88" i="20" s="1"/>
  <c r="G87" i="3"/>
  <c r="F87" i="3"/>
  <c r="E87" i="3"/>
  <c r="D87" i="3"/>
  <c r="R87" i="3" s="1"/>
  <c r="C87" i="3"/>
  <c r="H87" i="3" s="1"/>
  <c r="M86" i="3"/>
  <c r="L86" i="3"/>
  <c r="N86" i="3" s="1"/>
  <c r="K86" i="3"/>
  <c r="J86" i="3"/>
  <c r="I86" i="3"/>
  <c r="S86" i="3" s="1"/>
  <c r="D87" i="20" s="1"/>
  <c r="G86" i="3"/>
  <c r="F86" i="3"/>
  <c r="E86" i="3"/>
  <c r="D86" i="3"/>
  <c r="C86" i="3"/>
  <c r="H86" i="3" s="1"/>
  <c r="M85" i="3"/>
  <c r="L85" i="3"/>
  <c r="K85" i="3"/>
  <c r="J85" i="3"/>
  <c r="I85" i="3"/>
  <c r="S85" i="3" s="1"/>
  <c r="D86" i="20" s="1"/>
  <c r="G85" i="3"/>
  <c r="F85" i="3"/>
  <c r="E85" i="3"/>
  <c r="D85" i="3"/>
  <c r="C85" i="3"/>
  <c r="H85" i="3" s="1"/>
  <c r="B85" i="3"/>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V102" i="4"/>
  <c r="T102" i="4"/>
  <c r="L102" i="4"/>
  <c r="H102" i="4"/>
  <c r="M102" i="4" s="1"/>
  <c r="F102" i="4"/>
  <c r="E102" i="4"/>
  <c r="T101" i="4"/>
  <c r="V101" i="4" s="1"/>
  <c r="L101" i="4"/>
  <c r="H101" i="4"/>
  <c r="F101" i="4"/>
  <c r="E101" i="4"/>
  <c r="T100" i="4"/>
  <c r="V100" i="4" s="1"/>
  <c r="M100" i="4"/>
  <c r="L100" i="4"/>
  <c r="N100" i="4" s="1"/>
  <c r="H100" i="4"/>
  <c r="F100" i="4"/>
  <c r="E100" i="4"/>
  <c r="V99" i="4"/>
  <c r="T99" i="4"/>
  <c r="L99" i="4"/>
  <c r="M99" i="4" s="1"/>
  <c r="H99" i="4"/>
  <c r="F99" i="4"/>
  <c r="E99" i="4"/>
  <c r="V98" i="4"/>
  <c r="T98" i="4"/>
  <c r="L98" i="4"/>
  <c r="H98" i="4"/>
  <c r="M98" i="4" s="1"/>
  <c r="F98" i="4"/>
  <c r="E98" i="4"/>
  <c r="T97" i="4"/>
  <c r="V97" i="4" s="1"/>
  <c r="L97" i="4"/>
  <c r="H97" i="4"/>
  <c r="F97" i="4"/>
  <c r="E97" i="4"/>
  <c r="V96" i="4"/>
  <c r="T96" i="4"/>
  <c r="M96" i="4"/>
  <c r="L96" i="4"/>
  <c r="H96" i="4"/>
  <c r="N96" i="4" s="1"/>
  <c r="F96" i="4"/>
  <c r="E96" i="4"/>
  <c r="V95" i="4"/>
  <c r="T95" i="4"/>
  <c r="L95" i="4"/>
  <c r="M95" i="4" s="1"/>
  <c r="H95" i="4"/>
  <c r="F95" i="4"/>
  <c r="E95" i="4"/>
  <c r="V94" i="4"/>
  <c r="T94" i="4"/>
  <c r="L94" i="4"/>
  <c r="H94" i="4"/>
  <c r="M94" i="4" s="1"/>
  <c r="F94" i="4"/>
  <c r="E94" i="4"/>
  <c r="T93" i="4"/>
  <c r="V93" i="4" s="1"/>
  <c r="L93" i="4"/>
  <c r="H93" i="4"/>
  <c r="F93" i="4"/>
  <c r="E93" i="4"/>
  <c r="V92" i="4"/>
  <c r="T92" i="4"/>
  <c r="M92" i="4"/>
  <c r="L92" i="4"/>
  <c r="H92" i="4"/>
  <c r="N92" i="4" s="1"/>
  <c r="F92" i="4"/>
  <c r="E92" i="4"/>
  <c r="V91" i="4"/>
  <c r="T91" i="4"/>
  <c r="L91" i="4"/>
  <c r="H91" i="4"/>
  <c r="F91" i="4"/>
  <c r="E91" i="4"/>
  <c r="V90" i="4"/>
  <c r="T90" i="4"/>
  <c r="L90" i="4"/>
  <c r="H90" i="4"/>
  <c r="M90" i="4" s="1"/>
  <c r="F90" i="4"/>
  <c r="E90" i="4"/>
  <c r="T89" i="4"/>
  <c r="V89" i="4" s="1"/>
  <c r="C96" i="20" s="1"/>
  <c r="L89" i="4"/>
  <c r="H89" i="4"/>
  <c r="F89" i="4"/>
  <c r="E89" i="4"/>
  <c r="V88" i="4"/>
  <c r="T88" i="4"/>
  <c r="M88" i="4"/>
  <c r="L88" i="4"/>
  <c r="H88" i="4"/>
  <c r="N88" i="4" s="1"/>
  <c r="F88" i="4"/>
  <c r="E88" i="4"/>
  <c r="V87" i="4"/>
  <c r="T87" i="4"/>
  <c r="L87" i="4"/>
  <c r="H87" i="4"/>
  <c r="F87" i="4"/>
  <c r="E87" i="4"/>
  <c r="V86" i="4"/>
  <c r="T86" i="4"/>
  <c r="L86" i="4"/>
  <c r="H86" i="4"/>
  <c r="M86" i="4" s="1"/>
  <c r="F86" i="4"/>
  <c r="E86" i="4"/>
  <c r="T85" i="4"/>
  <c r="V85" i="4" s="1"/>
  <c r="C92" i="20" s="1"/>
  <c r="L85" i="4"/>
  <c r="H85" i="4"/>
  <c r="F85" i="4"/>
  <c r="E85" i="4"/>
  <c r="V84" i="4"/>
  <c r="T84" i="4"/>
  <c r="M84" i="4"/>
  <c r="L84" i="4"/>
  <c r="H84" i="4"/>
  <c r="N84" i="4" s="1"/>
  <c r="F84" i="4"/>
  <c r="E84" i="4"/>
  <c r="V83" i="4"/>
  <c r="T83" i="4"/>
  <c r="L83" i="4"/>
  <c r="M83" i="4" s="1"/>
  <c r="H83" i="4"/>
  <c r="F83" i="4"/>
  <c r="E83" i="4"/>
  <c r="V82" i="4"/>
  <c r="T82" i="4"/>
  <c r="L82" i="4"/>
  <c r="H82" i="4"/>
  <c r="M82" i="4" s="1"/>
  <c r="F82" i="4"/>
  <c r="E82" i="4"/>
  <c r="T81" i="4"/>
  <c r="V81" i="4" s="1"/>
  <c r="C88" i="20" s="1"/>
  <c r="L81" i="4"/>
  <c r="H81" i="4"/>
  <c r="F81" i="4"/>
  <c r="E81" i="4"/>
  <c r="V80" i="4"/>
  <c r="T80" i="4"/>
  <c r="M80" i="4"/>
  <c r="L80" i="4"/>
  <c r="H80" i="4"/>
  <c r="N80" i="4" s="1"/>
  <c r="F80" i="4"/>
  <c r="E80" i="4"/>
  <c r="V79" i="4"/>
  <c r="T79" i="4"/>
  <c r="Q79" i="4"/>
  <c r="Q80" i="4" s="1"/>
  <c r="Q81" i="4" s="1"/>
  <c r="Q82" i="4" s="1"/>
  <c r="Q83" i="4" s="1"/>
  <c r="Q84" i="4" s="1"/>
  <c r="Q85" i="4" s="1"/>
  <c r="Q86" i="4" s="1"/>
  <c r="Q87" i="4" s="1"/>
  <c r="Q88" i="4" s="1"/>
  <c r="Q89" i="4" s="1"/>
  <c r="Q90" i="4" s="1"/>
  <c r="Q91" i="4" s="1"/>
  <c r="Q92" i="4" s="1"/>
  <c r="Q93" i="4" s="1"/>
  <c r="Q94" i="4" s="1"/>
  <c r="Q95" i="4" s="1"/>
  <c r="Q96" i="4" s="1"/>
  <c r="Q97" i="4" s="1"/>
  <c r="Q98" i="4" s="1"/>
  <c r="Q99" i="4" s="1"/>
  <c r="Q100" i="4" s="1"/>
  <c r="Q101" i="4" s="1"/>
  <c r="Q102" i="4" s="1"/>
  <c r="L79" i="4"/>
  <c r="M79" i="4" s="1"/>
  <c r="H79" i="4"/>
  <c r="N79" i="4" s="1"/>
  <c r="F79" i="4"/>
  <c r="E79" i="4"/>
  <c r="B79" i="4"/>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86" i="13"/>
  <c r="B86" i="14"/>
  <c r="B86" i="15"/>
  <c r="B86" i="16"/>
  <c r="B86" i="17"/>
  <c r="C109" i="18"/>
  <c r="C108" i="18"/>
  <c r="C107" i="18"/>
  <c r="C106" i="18"/>
  <c r="C105" i="18"/>
  <c r="C104" i="18"/>
  <c r="C103" i="18"/>
  <c r="C102" i="18"/>
  <c r="C101" i="18"/>
  <c r="C100" i="18"/>
  <c r="C99" i="18"/>
  <c r="C98" i="18"/>
  <c r="C97" i="18"/>
  <c r="C96" i="18"/>
  <c r="C95" i="18"/>
  <c r="C94" i="18"/>
  <c r="C93" i="18"/>
  <c r="C92" i="18"/>
  <c r="C91" i="18"/>
  <c r="C90" i="18"/>
  <c r="C89" i="18"/>
  <c r="C88" i="18"/>
  <c r="C87" i="18"/>
  <c r="C86" i="18"/>
  <c r="B86" i="18"/>
  <c r="D109" i="19"/>
  <c r="D108" i="19"/>
  <c r="D107" i="19"/>
  <c r="D106" i="19"/>
  <c r="D105" i="19"/>
  <c r="D104" i="19"/>
  <c r="D103" i="19"/>
  <c r="D102" i="19"/>
  <c r="D101" i="19"/>
  <c r="D100" i="19"/>
  <c r="D99" i="19"/>
  <c r="D98" i="19"/>
  <c r="D97" i="19"/>
  <c r="D96" i="19"/>
  <c r="D95" i="19"/>
  <c r="D94" i="19"/>
  <c r="D93" i="19"/>
  <c r="D92" i="19"/>
  <c r="D91" i="19"/>
  <c r="D90" i="19"/>
  <c r="D89" i="19"/>
  <c r="D88" i="19"/>
  <c r="D87" i="19"/>
  <c r="D86" i="19"/>
  <c r="D107" i="20"/>
  <c r="D99" i="20"/>
  <c r="D91" i="20"/>
  <c r="B87" i="20"/>
  <c r="B86" i="20"/>
  <c r="B87" i="12"/>
  <c r="B86" i="12"/>
  <c r="C109" i="20"/>
  <c r="B109" i="19"/>
  <c r="C109" i="17"/>
  <c r="C109" i="13"/>
  <c r="C109" i="12"/>
  <c r="C108" i="15"/>
  <c r="C108" i="14"/>
  <c r="C108" i="13"/>
  <c r="C108" i="12"/>
  <c r="C107" i="17"/>
  <c r="C107" i="16"/>
  <c r="C107" i="15"/>
  <c r="C107" i="14"/>
  <c r="C107" i="13"/>
  <c r="B106" i="19"/>
  <c r="C106" i="17"/>
  <c r="C106" i="16"/>
  <c r="C106" i="15"/>
  <c r="C105" i="20"/>
  <c r="B105" i="19"/>
  <c r="C105" i="17"/>
  <c r="C105" i="13"/>
  <c r="C105" i="12"/>
  <c r="C104" i="15"/>
  <c r="C104" i="14"/>
  <c r="C104" i="13"/>
  <c r="C104" i="12"/>
  <c r="B103" i="19"/>
  <c r="C103" i="17"/>
  <c r="C103" i="16"/>
  <c r="C103" i="15"/>
  <c r="C103" i="14"/>
  <c r="C103" i="13"/>
  <c r="B102" i="19"/>
  <c r="C102" i="17"/>
  <c r="C102" i="16"/>
  <c r="C102" i="15"/>
  <c r="C102" i="14"/>
  <c r="C101" i="20"/>
  <c r="B101" i="19"/>
  <c r="C101" i="17"/>
  <c r="C101" i="13"/>
  <c r="C101" i="12"/>
  <c r="C100" i="17"/>
  <c r="C100" i="15"/>
  <c r="C100" i="14"/>
  <c r="C100" i="13"/>
  <c r="C100" i="12"/>
  <c r="C99" i="20"/>
  <c r="C99" i="17"/>
  <c r="C99" i="16"/>
  <c r="C99" i="15"/>
  <c r="C99" i="14"/>
  <c r="C99" i="13"/>
  <c r="C99" i="12"/>
  <c r="B98" i="19"/>
  <c r="C98" i="17"/>
  <c r="C98" i="16"/>
  <c r="C98" i="15"/>
  <c r="C98" i="14"/>
  <c r="C97" i="20"/>
  <c r="B97" i="19"/>
  <c r="C97" i="17"/>
  <c r="C97" i="16"/>
  <c r="C97" i="13"/>
  <c r="C97" i="12"/>
  <c r="B96" i="19"/>
  <c r="C96" i="17"/>
  <c r="C96" i="16"/>
  <c r="C96" i="15"/>
  <c r="C96" i="14"/>
  <c r="C96" i="13"/>
  <c r="C96" i="12"/>
  <c r="C95" i="20"/>
  <c r="C95" i="17"/>
  <c r="C95" i="16"/>
  <c r="C95" i="15"/>
  <c r="C95" i="14"/>
  <c r="C95" i="13"/>
  <c r="C95" i="12"/>
  <c r="B94" i="19"/>
  <c r="C94" i="17"/>
  <c r="C94" i="16"/>
  <c r="C94" i="15"/>
  <c r="C94" i="14"/>
  <c r="C93" i="20"/>
  <c r="B93" i="19"/>
  <c r="C93" i="17"/>
  <c r="C93" i="16"/>
  <c r="C93" i="13"/>
  <c r="C93" i="12"/>
  <c r="B92" i="19"/>
  <c r="C92" i="15"/>
  <c r="C92" i="14"/>
  <c r="C92" i="13"/>
  <c r="C92" i="12"/>
  <c r="C91" i="20"/>
  <c r="C91" i="17"/>
  <c r="C91" i="16"/>
  <c r="C91" i="15"/>
  <c r="C91" i="14"/>
  <c r="C91" i="13"/>
  <c r="C91" i="12"/>
  <c r="B90" i="19"/>
  <c r="C90" i="17"/>
  <c r="C90" i="16"/>
  <c r="C90" i="15"/>
  <c r="C90" i="14"/>
  <c r="C89" i="20"/>
  <c r="B89" i="19"/>
  <c r="C89" i="17"/>
  <c r="C89" i="16"/>
  <c r="C89" i="15"/>
  <c r="C89" i="13"/>
  <c r="C89" i="12"/>
  <c r="B88" i="19"/>
  <c r="C88" i="15"/>
  <c r="C88" i="14"/>
  <c r="C88" i="13"/>
  <c r="C88" i="12"/>
  <c r="C87" i="20"/>
  <c r="C87" i="17"/>
  <c r="C87" i="16"/>
  <c r="C87" i="15"/>
  <c r="C87" i="14"/>
  <c r="C87" i="13"/>
  <c r="C87" i="12"/>
  <c r="B86" i="19"/>
  <c r="C86" i="17"/>
  <c r="C86" i="16"/>
  <c r="C86" i="15"/>
  <c r="C86" i="14"/>
  <c r="N89" i="9" l="1"/>
  <c r="N93" i="9"/>
  <c r="D101" i="8"/>
  <c r="N97" i="9"/>
  <c r="E79" i="6"/>
  <c r="O82" i="7"/>
  <c r="O90" i="7"/>
  <c r="E87" i="6"/>
  <c r="O94" i="7"/>
  <c r="E91" i="6"/>
  <c r="O98" i="7"/>
  <c r="E95" i="6"/>
  <c r="O102" i="7"/>
  <c r="E99" i="6"/>
  <c r="E80" i="6"/>
  <c r="O83" i="7"/>
  <c r="E88" i="6"/>
  <c r="O91" i="7"/>
  <c r="E96" i="6"/>
  <c r="O99" i="7"/>
  <c r="O103" i="7"/>
  <c r="E100" i="6"/>
  <c r="O87" i="7"/>
  <c r="E84" i="6"/>
  <c r="O95" i="7"/>
  <c r="E92" i="6"/>
  <c r="O84" i="7"/>
  <c r="E81" i="6"/>
  <c r="O92" i="7"/>
  <c r="E89" i="6"/>
  <c r="O100" i="7"/>
  <c r="E97" i="6"/>
  <c r="E85" i="6"/>
  <c r="O88" i="7"/>
  <c r="E93" i="6"/>
  <c r="O96" i="7"/>
  <c r="E101" i="6"/>
  <c r="O104" i="7"/>
  <c r="O86" i="7"/>
  <c r="E83" i="6"/>
  <c r="E82" i="6"/>
  <c r="O85" i="7"/>
  <c r="E90" i="6"/>
  <c r="O93" i="7"/>
  <c r="E98" i="6"/>
  <c r="O101" i="7"/>
  <c r="O105" i="7"/>
  <c r="E102" i="6"/>
  <c r="O89" i="7"/>
  <c r="E86" i="6"/>
  <c r="O97" i="7"/>
  <c r="E94" i="6"/>
  <c r="C100" i="16"/>
  <c r="C102" i="20"/>
  <c r="C106" i="12"/>
  <c r="C105" i="14"/>
  <c r="B87" i="17"/>
  <c r="B87" i="16"/>
  <c r="B87" i="15"/>
  <c r="B87" i="14"/>
  <c r="B87" i="13"/>
  <c r="B80" i="5"/>
  <c r="C106" i="20"/>
  <c r="D98" i="12"/>
  <c r="C98" i="19"/>
  <c r="E98" i="19" s="1"/>
  <c r="D98" i="18"/>
  <c r="E98" i="18" s="1"/>
  <c r="D98" i="13"/>
  <c r="D98" i="14"/>
  <c r="D98" i="15"/>
  <c r="D98" i="16"/>
  <c r="E98" i="16" s="1"/>
  <c r="D98" i="17"/>
  <c r="D88" i="13"/>
  <c r="D88" i="14"/>
  <c r="E88" i="14" s="1"/>
  <c r="D88" i="15"/>
  <c r="D88" i="16"/>
  <c r="D88" i="17"/>
  <c r="D88" i="12"/>
  <c r="C88" i="19"/>
  <c r="D88" i="18"/>
  <c r="E88" i="18" s="1"/>
  <c r="F88" i="18" s="1"/>
  <c r="D105" i="13"/>
  <c r="D105" i="14"/>
  <c r="D105" i="15"/>
  <c r="D105" i="16"/>
  <c r="D105" i="17"/>
  <c r="D105" i="18"/>
  <c r="D105" i="12"/>
  <c r="E105" i="12" s="1"/>
  <c r="C105" i="19"/>
  <c r="D107" i="18"/>
  <c r="E107" i="18" s="1"/>
  <c r="D107" i="17"/>
  <c r="D107" i="12"/>
  <c r="D107" i="13"/>
  <c r="D107" i="14"/>
  <c r="D107" i="15"/>
  <c r="D107" i="16"/>
  <c r="E107" i="16" s="1"/>
  <c r="C107" i="19"/>
  <c r="D108" i="13"/>
  <c r="D108" i="14"/>
  <c r="D108" i="15"/>
  <c r="D108" i="16"/>
  <c r="D108" i="17"/>
  <c r="D108" i="12"/>
  <c r="C108" i="19"/>
  <c r="D108" i="18"/>
  <c r="D97" i="13"/>
  <c r="D97" i="14"/>
  <c r="E97" i="14" s="1"/>
  <c r="D97" i="15"/>
  <c r="D97" i="16"/>
  <c r="D97" i="17"/>
  <c r="D97" i="12"/>
  <c r="D97" i="18"/>
  <c r="E97" i="18" s="1"/>
  <c r="C97" i="19"/>
  <c r="D99" i="18"/>
  <c r="E99" i="18" s="1"/>
  <c r="D99" i="12"/>
  <c r="D99" i="17"/>
  <c r="D99" i="13"/>
  <c r="D99" i="14"/>
  <c r="D99" i="15"/>
  <c r="D99" i="16"/>
  <c r="E99" i="16" s="1"/>
  <c r="C99" i="19"/>
  <c r="D100" i="13"/>
  <c r="D100" i="14"/>
  <c r="D100" i="15"/>
  <c r="D100" i="16"/>
  <c r="D100" i="17"/>
  <c r="D100" i="18"/>
  <c r="D100" i="12"/>
  <c r="E100" i="12" s="1"/>
  <c r="C100" i="19"/>
  <c r="D89" i="13"/>
  <c r="E89" i="13" s="1"/>
  <c r="D89" i="14"/>
  <c r="E89" i="14" s="1"/>
  <c r="D89" i="15"/>
  <c r="D89" i="16"/>
  <c r="D89" i="17"/>
  <c r="D89" i="12"/>
  <c r="C89" i="19"/>
  <c r="E89" i="19" s="1"/>
  <c r="D89" i="18"/>
  <c r="D91" i="18"/>
  <c r="E91" i="18" s="1"/>
  <c r="D91" i="12"/>
  <c r="D91" i="13"/>
  <c r="D91" i="14"/>
  <c r="D91" i="15"/>
  <c r="D91" i="16"/>
  <c r="D91" i="17"/>
  <c r="C91" i="19"/>
  <c r="D92" i="13"/>
  <c r="E92" i="13" s="1"/>
  <c r="D92" i="14"/>
  <c r="D92" i="15"/>
  <c r="D92" i="16"/>
  <c r="D92" i="17"/>
  <c r="D92" i="12"/>
  <c r="C92" i="19"/>
  <c r="E92" i="19" s="1"/>
  <c r="D92" i="18"/>
  <c r="E91" i="13"/>
  <c r="E92" i="12"/>
  <c r="E97" i="13"/>
  <c r="G97" i="13" s="1"/>
  <c r="E98" i="13"/>
  <c r="G98" i="13" s="1"/>
  <c r="E99" i="13"/>
  <c r="E105" i="13"/>
  <c r="G105" i="13" s="1"/>
  <c r="E106" i="13"/>
  <c r="G106" i="13" s="1"/>
  <c r="E107" i="13"/>
  <c r="G107" i="13" s="1"/>
  <c r="D90" i="18"/>
  <c r="E90" i="18" s="1"/>
  <c r="D90" i="17"/>
  <c r="D106" i="17"/>
  <c r="D90" i="16"/>
  <c r="D106" i="16"/>
  <c r="E106" i="16" s="1"/>
  <c r="D90" i="15"/>
  <c r="D106" i="15"/>
  <c r="D90" i="14"/>
  <c r="D106" i="14"/>
  <c r="D90" i="13"/>
  <c r="E90" i="13" s="1"/>
  <c r="D106" i="13"/>
  <c r="H91" i="3"/>
  <c r="S91" i="3"/>
  <c r="D92" i="20" s="1"/>
  <c r="E92" i="20" s="1"/>
  <c r="S99" i="3"/>
  <c r="D100" i="20" s="1"/>
  <c r="S107" i="3"/>
  <c r="D108" i="20" s="1"/>
  <c r="E88" i="13"/>
  <c r="F88" i="13" s="1"/>
  <c r="E92" i="18"/>
  <c r="G92" i="18" s="1"/>
  <c r="E90" i="15"/>
  <c r="E97" i="15"/>
  <c r="E99" i="15"/>
  <c r="E105" i="15"/>
  <c r="E106" i="15"/>
  <c r="G106" i="15" s="1"/>
  <c r="E89" i="18"/>
  <c r="E100" i="18"/>
  <c r="G100" i="18" s="1"/>
  <c r="E96" i="20"/>
  <c r="H97" i="3"/>
  <c r="E91" i="14"/>
  <c r="E98" i="14"/>
  <c r="G98" i="14" s="1"/>
  <c r="E107" i="14"/>
  <c r="E89" i="15"/>
  <c r="F89" i="15" s="1"/>
  <c r="E91" i="15"/>
  <c r="G91" i="15" s="1"/>
  <c r="E98" i="15"/>
  <c r="G98" i="15" s="1"/>
  <c r="E107" i="15"/>
  <c r="D106" i="18"/>
  <c r="E106" i="18" s="1"/>
  <c r="E88" i="15"/>
  <c r="E89" i="16"/>
  <c r="E90" i="16"/>
  <c r="E91" i="16"/>
  <c r="G91" i="16" s="1"/>
  <c r="E92" i="15"/>
  <c r="F92" i="15" s="1"/>
  <c r="E97" i="16"/>
  <c r="G97" i="16" s="1"/>
  <c r="E108" i="16"/>
  <c r="R95" i="3"/>
  <c r="R103" i="3"/>
  <c r="E88" i="16"/>
  <c r="F88" i="16" s="1"/>
  <c r="E89" i="17"/>
  <c r="E90" i="17"/>
  <c r="G90" i="17" s="1"/>
  <c r="E97" i="17"/>
  <c r="G97" i="17" s="1"/>
  <c r="E98" i="17"/>
  <c r="F98" i="17" s="1"/>
  <c r="E100" i="16"/>
  <c r="G100" i="16" s="1"/>
  <c r="E105" i="17"/>
  <c r="G105" i="17" s="1"/>
  <c r="E106" i="17"/>
  <c r="G106" i="17" s="1"/>
  <c r="E108" i="17"/>
  <c r="E105" i="18"/>
  <c r="N85" i="3"/>
  <c r="R86" i="3"/>
  <c r="R94" i="3"/>
  <c r="R102" i="3"/>
  <c r="E91" i="19"/>
  <c r="E92" i="17"/>
  <c r="G92" i="17" s="1"/>
  <c r="E99" i="19"/>
  <c r="E107" i="19"/>
  <c r="F107" i="19" s="1"/>
  <c r="E109" i="20"/>
  <c r="F109" i="20" s="1"/>
  <c r="R85" i="3"/>
  <c r="N92" i="3"/>
  <c r="R93" i="3"/>
  <c r="N100" i="3"/>
  <c r="R101" i="3"/>
  <c r="N108" i="3"/>
  <c r="E90" i="14"/>
  <c r="F90" i="14" s="1"/>
  <c r="E86" i="20"/>
  <c r="E88" i="19"/>
  <c r="F88" i="19" s="1"/>
  <c r="E89" i="20"/>
  <c r="G89" i="20" s="1"/>
  <c r="E90" i="20"/>
  <c r="G90" i="20" s="1"/>
  <c r="E93" i="20"/>
  <c r="E94" i="20"/>
  <c r="E97" i="20"/>
  <c r="G97" i="20" s="1"/>
  <c r="E98" i="20"/>
  <c r="F98" i="20" s="1"/>
  <c r="E101" i="20"/>
  <c r="G101" i="20" s="1"/>
  <c r="E102" i="20"/>
  <c r="G102" i="20" s="1"/>
  <c r="E106" i="20"/>
  <c r="G106" i="20" s="1"/>
  <c r="C90" i="19"/>
  <c r="E90" i="19" s="1"/>
  <c r="C106" i="19"/>
  <c r="E106" i="19" s="1"/>
  <c r="R92" i="3"/>
  <c r="R100" i="3"/>
  <c r="R108" i="3"/>
  <c r="E99" i="14"/>
  <c r="G99" i="14" s="1"/>
  <c r="E108" i="18"/>
  <c r="G108" i="18" s="1"/>
  <c r="E87" i="20"/>
  <c r="F87" i="20" s="1"/>
  <c r="E89" i="12"/>
  <c r="E90" i="12"/>
  <c r="G90" i="12" s="1"/>
  <c r="E95" i="20"/>
  <c r="E97" i="12"/>
  <c r="E98" i="12"/>
  <c r="G98" i="12" s="1"/>
  <c r="E106" i="12"/>
  <c r="E108" i="12"/>
  <c r="F108" i="12" s="1"/>
  <c r="F98" i="13"/>
  <c r="N89" i="4"/>
  <c r="G89" i="15"/>
  <c r="G90" i="15"/>
  <c r="F90" i="15"/>
  <c r="G97" i="15"/>
  <c r="F97" i="15"/>
  <c r="G99" i="15"/>
  <c r="F99" i="15"/>
  <c r="G105" i="15"/>
  <c r="F105" i="15"/>
  <c r="F96" i="20"/>
  <c r="G96" i="20"/>
  <c r="C100" i="20"/>
  <c r="E100" i="20" s="1"/>
  <c r="C104" i="20"/>
  <c r="E104" i="20" s="1"/>
  <c r="C108" i="20"/>
  <c r="F88" i="15"/>
  <c r="G88" i="15"/>
  <c r="G89" i="16"/>
  <c r="F89" i="16"/>
  <c r="F108" i="16"/>
  <c r="G108" i="16"/>
  <c r="N83" i="4"/>
  <c r="N95" i="4"/>
  <c r="N99" i="4"/>
  <c r="G89" i="17"/>
  <c r="F89" i="17"/>
  <c r="F90" i="17"/>
  <c r="F105" i="17"/>
  <c r="C107" i="20"/>
  <c r="E107" i="20" s="1"/>
  <c r="F107" i="20" s="1"/>
  <c r="N102" i="4"/>
  <c r="F99" i="19"/>
  <c r="G99" i="19"/>
  <c r="G109" i="20"/>
  <c r="N82" i="4"/>
  <c r="N86" i="4"/>
  <c r="N90" i="4"/>
  <c r="N94" i="4"/>
  <c r="N98" i="4"/>
  <c r="F86" i="20"/>
  <c r="G86" i="20"/>
  <c r="G93" i="20"/>
  <c r="F93" i="20"/>
  <c r="G94" i="20"/>
  <c r="F94" i="20"/>
  <c r="G98" i="20"/>
  <c r="G95" i="20"/>
  <c r="F95" i="20"/>
  <c r="N101" i="4"/>
  <c r="C107" i="12"/>
  <c r="E107" i="12" s="1"/>
  <c r="G107" i="12" s="1"/>
  <c r="E91" i="20"/>
  <c r="G91" i="20" s="1"/>
  <c r="C103" i="20"/>
  <c r="E103" i="20" s="1"/>
  <c r="F103" i="20" s="1"/>
  <c r="E91" i="17"/>
  <c r="G91" i="17" s="1"/>
  <c r="E92" i="16"/>
  <c r="G92" i="16" s="1"/>
  <c r="C106" i="14"/>
  <c r="E106" i="14" s="1"/>
  <c r="M81" i="4"/>
  <c r="M85" i="4"/>
  <c r="M89" i="4"/>
  <c r="M93" i="4"/>
  <c r="M97" i="4"/>
  <c r="M101" i="4"/>
  <c r="E88" i="12"/>
  <c r="G88" i="12" s="1"/>
  <c r="E99" i="12"/>
  <c r="G99" i="12" s="1"/>
  <c r="B104" i="19"/>
  <c r="B108" i="19"/>
  <c r="E99" i="17"/>
  <c r="G99" i="17" s="1"/>
  <c r="C105" i="16"/>
  <c r="E105" i="16" s="1"/>
  <c r="E91" i="12"/>
  <c r="F91" i="12" s="1"/>
  <c r="C103" i="12"/>
  <c r="E108" i="13"/>
  <c r="E99" i="20"/>
  <c r="F99" i="20" s="1"/>
  <c r="B100" i="19"/>
  <c r="E100" i="19" s="1"/>
  <c r="G100" i="19" s="1"/>
  <c r="E88" i="17"/>
  <c r="F88" i="17" s="1"/>
  <c r="C101" i="16"/>
  <c r="E108" i="15"/>
  <c r="F108" i="15" s="1"/>
  <c r="E92" i="14"/>
  <c r="F92" i="14" s="1"/>
  <c r="E100" i="14"/>
  <c r="F100" i="14" s="1"/>
  <c r="E100" i="17"/>
  <c r="F100" i="17" s="1"/>
  <c r="C109" i="16"/>
  <c r="E100" i="15"/>
  <c r="F100" i="15" s="1"/>
  <c r="M87" i="4"/>
  <c r="M91" i="4"/>
  <c r="E88" i="20"/>
  <c r="G88" i="20" s="1"/>
  <c r="E107" i="17"/>
  <c r="G103" i="20"/>
  <c r="F88" i="12"/>
  <c r="F107" i="18"/>
  <c r="G107" i="18"/>
  <c r="G97" i="12"/>
  <c r="F97" i="12"/>
  <c r="F104" i="20"/>
  <c r="G104" i="20"/>
  <c r="G89" i="12"/>
  <c r="F89" i="12"/>
  <c r="F92" i="12"/>
  <c r="G92" i="12"/>
  <c r="G106" i="12"/>
  <c r="F106" i="12"/>
  <c r="F91" i="19"/>
  <c r="G91" i="19"/>
  <c r="F90" i="12"/>
  <c r="F88" i="20"/>
  <c r="E105" i="20"/>
  <c r="G107" i="14"/>
  <c r="F107" i="14"/>
  <c r="F100" i="19"/>
  <c r="F92" i="16"/>
  <c r="G100" i="17"/>
  <c r="F102" i="20"/>
  <c r="F106" i="17"/>
  <c r="F100" i="16"/>
  <c r="F97" i="20"/>
  <c r="E97" i="19"/>
  <c r="E105" i="19"/>
  <c r="F108" i="17"/>
  <c r="G108" i="17"/>
  <c r="F91" i="16"/>
  <c r="G90" i="16"/>
  <c r="F90" i="16"/>
  <c r="G107" i="20"/>
  <c r="E108" i="20"/>
  <c r="G91" i="13"/>
  <c r="F91" i="13"/>
  <c r="G107" i="15"/>
  <c r="F107" i="15"/>
  <c r="G91" i="14"/>
  <c r="F91" i="14"/>
  <c r="E100" i="13"/>
  <c r="F91" i="15"/>
  <c r="E108" i="14"/>
  <c r="G92" i="14"/>
  <c r="G100" i="14"/>
  <c r="G99" i="13"/>
  <c r="F99" i="13"/>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L50" i="5"/>
  <c r="L42" i="5"/>
  <c r="L34" i="5"/>
  <c r="L26" i="5"/>
  <c r="L18" i="5"/>
  <c r="I11" i="20"/>
  <c r="H11" i="19"/>
  <c r="I11" i="18"/>
  <c r="I11" i="17"/>
  <c r="I11" i="16"/>
  <c r="I11" i="15"/>
  <c r="I11" i="14"/>
  <c r="I11" i="13"/>
  <c r="I13" i="20"/>
  <c r="I7" i="20"/>
  <c r="H13" i="19"/>
  <c r="H7" i="19"/>
  <c r="A3" i="19"/>
  <c r="I13" i="18"/>
  <c r="I7" i="18"/>
  <c r="I13" i="17"/>
  <c r="I7" i="17"/>
  <c r="B3" i="17"/>
  <c r="I13" i="16"/>
  <c r="I7" i="16"/>
  <c r="B3" i="16"/>
  <c r="I13" i="15"/>
  <c r="I7" i="15"/>
  <c r="B3" i="15"/>
  <c r="I13" i="14"/>
  <c r="I7" i="14"/>
  <c r="B3" i="14"/>
  <c r="I13" i="13"/>
  <c r="I7" i="13"/>
  <c r="B3" i="13"/>
  <c r="I13" i="12"/>
  <c r="I7" i="12"/>
  <c r="B3" i="12"/>
  <c r="C41" i="11"/>
  <c r="C39" i="11"/>
  <c r="AG32" i="11"/>
  <c r="AF32" i="11"/>
  <c r="AF11" i="11" s="1"/>
  <c r="AD29" i="11"/>
  <c r="Z29" i="11"/>
  <c r="Y29" i="11"/>
  <c r="X29" i="11"/>
  <c r="W29" i="11"/>
  <c r="AE26" i="11"/>
  <c r="AE25" i="11"/>
  <c r="AE24" i="11"/>
  <c r="AE23" i="11"/>
  <c r="AE22" i="11"/>
  <c r="AE21" i="11"/>
  <c r="AE20" i="11"/>
  <c r="AE19" i="11"/>
  <c r="AE18" i="11"/>
  <c r="AE17" i="11"/>
  <c r="AE16" i="11"/>
  <c r="AE15" i="11"/>
  <c r="AE14" i="11"/>
  <c r="AE13" i="11"/>
  <c r="AE12" i="11"/>
  <c r="AG11" i="11"/>
  <c r="AE11" i="11"/>
  <c r="AE10" i="11"/>
  <c r="AE9" i="11"/>
  <c r="AE8" i="11"/>
  <c r="AE29" i="11" s="1"/>
  <c r="AD4" i="11"/>
  <c r="AC4" i="11"/>
  <c r="AB4" i="11"/>
  <c r="AA4" i="11"/>
  <c r="Z4" i="11"/>
  <c r="Y4" i="11"/>
  <c r="X4" i="11"/>
  <c r="W4" i="11"/>
  <c r="AH24" i="11" s="1"/>
  <c r="B16" i="9"/>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D2" i="9"/>
  <c r="B12" i="8"/>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15" i="7"/>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5" i="7"/>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B12" i="6"/>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11" i="5"/>
  <c r="G2" i="5"/>
  <c r="T78" i="4"/>
  <c r="V78" i="4" s="1"/>
  <c r="L77" i="5" s="1"/>
  <c r="E78" i="4"/>
  <c r="T77" i="4"/>
  <c r="V77" i="4" s="1"/>
  <c r="L76" i="5" s="1"/>
  <c r="E77" i="4"/>
  <c r="T76" i="4"/>
  <c r="V76" i="4" s="1"/>
  <c r="L75" i="5" s="1"/>
  <c r="E76" i="4"/>
  <c r="V75" i="4"/>
  <c r="L74" i="5" s="1"/>
  <c r="T75" i="4"/>
  <c r="E75" i="4"/>
  <c r="T74" i="4"/>
  <c r="V74" i="4" s="1"/>
  <c r="L73" i="5" s="1"/>
  <c r="E74" i="4"/>
  <c r="T73" i="4"/>
  <c r="V73" i="4" s="1"/>
  <c r="L72" i="5" s="1"/>
  <c r="E73" i="4"/>
  <c r="V72" i="4"/>
  <c r="L71" i="5" s="1"/>
  <c r="T72" i="4"/>
  <c r="E72" i="4"/>
  <c r="V71" i="4"/>
  <c r="L70" i="5" s="1"/>
  <c r="T71" i="4"/>
  <c r="E71" i="4"/>
  <c r="T70" i="4"/>
  <c r="V70" i="4" s="1"/>
  <c r="L69" i="5" s="1"/>
  <c r="E70" i="4"/>
  <c r="T69" i="4"/>
  <c r="V69" i="4" s="1"/>
  <c r="L68" i="5" s="1"/>
  <c r="E69" i="4"/>
  <c r="V68" i="4"/>
  <c r="L67" i="5" s="1"/>
  <c r="T68" i="4"/>
  <c r="E68" i="4"/>
  <c r="V67" i="4"/>
  <c r="L66" i="5" s="1"/>
  <c r="T67" i="4"/>
  <c r="E67" i="4"/>
  <c r="T66" i="4"/>
  <c r="V66" i="4" s="1"/>
  <c r="L65" i="5" s="1"/>
  <c r="E66" i="4"/>
  <c r="T65" i="4"/>
  <c r="V65" i="4" s="1"/>
  <c r="L64" i="5" s="1"/>
  <c r="E65" i="4"/>
  <c r="V64" i="4"/>
  <c r="L63" i="5" s="1"/>
  <c r="T64" i="4"/>
  <c r="E64" i="4"/>
  <c r="T63" i="4"/>
  <c r="V63" i="4" s="1"/>
  <c r="L62" i="5" s="1"/>
  <c r="E63" i="4"/>
  <c r="T62" i="4"/>
  <c r="V62" i="4" s="1"/>
  <c r="L61" i="5" s="1"/>
  <c r="E62" i="4"/>
  <c r="V61" i="4"/>
  <c r="L60" i="5" s="1"/>
  <c r="T61" i="4"/>
  <c r="E61" i="4"/>
  <c r="T60" i="4"/>
  <c r="V60" i="4" s="1"/>
  <c r="L59" i="5" s="1"/>
  <c r="E60" i="4"/>
  <c r="T59" i="4"/>
  <c r="V59" i="4" s="1"/>
  <c r="L58" i="5" s="1"/>
  <c r="E59" i="4"/>
  <c r="V58" i="4"/>
  <c r="L57" i="5" s="1"/>
  <c r="T58" i="4"/>
  <c r="E58" i="4"/>
  <c r="T57" i="4"/>
  <c r="V57" i="4" s="1"/>
  <c r="L56" i="5" s="1"/>
  <c r="E57" i="4"/>
  <c r="T56" i="4"/>
  <c r="V56" i="4" s="1"/>
  <c r="L55" i="5" s="1"/>
  <c r="E56" i="4"/>
  <c r="T55" i="4"/>
  <c r="V55" i="4" s="1"/>
  <c r="L54" i="5" s="1"/>
  <c r="E55" i="4"/>
  <c r="T54" i="4"/>
  <c r="V54" i="4" s="1"/>
  <c r="L53" i="5" s="1"/>
  <c r="E54" i="4"/>
  <c r="T53" i="4"/>
  <c r="V53" i="4" s="1"/>
  <c r="L52" i="5" s="1"/>
  <c r="E53" i="4"/>
  <c r="T52" i="4"/>
  <c r="V52" i="4" s="1"/>
  <c r="L51" i="5" s="1"/>
  <c r="T51" i="4"/>
  <c r="V51" i="4" s="1"/>
  <c r="T50" i="4"/>
  <c r="V50" i="4" s="1"/>
  <c r="L49" i="5" s="1"/>
  <c r="V49" i="4"/>
  <c r="L48" i="5" s="1"/>
  <c r="T49" i="4"/>
  <c r="T48" i="4"/>
  <c r="V48" i="4" s="1"/>
  <c r="L47" i="5" s="1"/>
  <c r="T47" i="4"/>
  <c r="V47" i="4" s="1"/>
  <c r="L46" i="5" s="1"/>
  <c r="T46" i="4"/>
  <c r="V46" i="4" s="1"/>
  <c r="L45" i="5" s="1"/>
  <c r="T45" i="4"/>
  <c r="V45" i="4" s="1"/>
  <c r="L44" i="5" s="1"/>
  <c r="T44" i="4"/>
  <c r="V44" i="4" s="1"/>
  <c r="L43" i="5" s="1"/>
  <c r="T43" i="4"/>
  <c r="V43" i="4" s="1"/>
  <c r="T42" i="4"/>
  <c r="V42" i="4" s="1"/>
  <c r="L41" i="5" s="1"/>
  <c r="T41" i="4"/>
  <c r="V41" i="4" s="1"/>
  <c r="L40" i="5" s="1"/>
  <c r="T40" i="4"/>
  <c r="V40" i="4" s="1"/>
  <c r="L39" i="5" s="1"/>
  <c r="T39" i="4"/>
  <c r="V39" i="4" s="1"/>
  <c r="L38" i="5" s="1"/>
  <c r="T38" i="4"/>
  <c r="V38" i="4" s="1"/>
  <c r="L37" i="5" s="1"/>
  <c r="T37" i="4"/>
  <c r="V37" i="4" s="1"/>
  <c r="L36" i="5" s="1"/>
  <c r="T36" i="4"/>
  <c r="V36" i="4" s="1"/>
  <c r="L35" i="5" s="1"/>
  <c r="T35" i="4"/>
  <c r="V35" i="4" s="1"/>
  <c r="T34" i="4"/>
  <c r="V34" i="4" s="1"/>
  <c r="L33" i="5" s="1"/>
  <c r="T33" i="4"/>
  <c r="V33" i="4" s="1"/>
  <c r="L32" i="5" s="1"/>
  <c r="T32" i="4"/>
  <c r="V32" i="4" s="1"/>
  <c r="L31" i="5" s="1"/>
  <c r="T31" i="4"/>
  <c r="V31" i="4" s="1"/>
  <c r="L30" i="5" s="1"/>
  <c r="T30" i="4"/>
  <c r="V30" i="4" s="1"/>
  <c r="L29" i="5" s="1"/>
  <c r="T29" i="4"/>
  <c r="V29" i="4" s="1"/>
  <c r="L28" i="5" s="1"/>
  <c r="T28" i="4"/>
  <c r="V28" i="4" s="1"/>
  <c r="L27" i="5" s="1"/>
  <c r="T27" i="4"/>
  <c r="V27" i="4" s="1"/>
  <c r="V26" i="4"/>
  <c r="L25" i="5" s="1"/>
  <c r="T26" i="4"/>
  <c r="D26" i="4"/>
  <c r="E26" i="4" s="1"/>
  <c r="T25" i="4"/>
  <c r="V25" i="4" s="1"/>
  <c r="L24" i="5" s="1"/>
  <c r="V24" i="4"/>
  <c r="L23" i="5" s="1"/>
  <c r="T24" i="4"/>
  <c r="T23" i="4"/>
  <c r="V23" i="4" s="1"/>
  <c r="L22" i="5" s="1"/>
  <c r="T22" i="4"/>
  <c r="V22" i="4" s="1"/>
  <c r="L21" i="5" s="1"/>
  <c r="T21" i="4"/>
  <c r="V21" i="4" s="1"/>
  <c r="L20" i="5" s="1"/>
  <c r="T20" i="4"/>
  <c r="V20" i="4" s="1"/>
  <c r="L19" i="5" s="1"/>
  <c r="T19" i="4"/>
  <c r="V19" i="4" s="1"/>
  <c r="V18" i="4"/>
  <c r="L17" i="5" s="1"/>
  <c r="T18" i="4"/>
  <c r="T17" i="4"/>
  <c r="V17" i="4" s="1"/>
  <c r="L16" i="5" s="1"/>
  <c r="T16" i="4"/>
  <c r="V16" i="4" s="1"/>
  <c r="L15" i="5" s="1"/>
  <c r="T15" i="4"/>
  <c r="V15" i="4" s="1"/>
  <c r="L14" i="5" s="1"/>
  <c r="T14" i="4"/>
  <c r="V14" i="4" s="1"/>
  <c r="L13" i="5" s="1"/>
  <c r="G14" i="4"/>
  <c r="T13" i="4"/>
  <c r="V13" i="4" s="1"/>
  <c r="L12" i="5" s="1"/>
  <c r="V12" i="4"/>
  <c r="L11" i="5" s="1"/>
  <c r="T12" i="4"/>
  <c r="Q12" i="4"/>
  <c r="Q13" i="4" s="1"/>
  <c r="Q14" i="4" s="1"/>
  <c r="Q15" i="4" s="1"/>
  <c r="Q16" i="4" s="1"/>
  <c r="Q17" i="4" s="1"/>
  <c r="Q18" i="4" s="1"/>
  <c r="Q19" i="4" s="1"/>
  <c r="Q20" i="4" s="1"/>
  <c r="Q21" i="4" s="1"/>
  <c r="Q22" i="4" s="1"/>
  <c r="Q23" i="4" s="1"/>
  <c r="Q24" i="4" s="1"/>
  <c r="Q25" i="4" s="1"/>
  <c r="Q26" i="4" s="1"/>
  <c r="Q27" i="4" s="1"/>
  <c r="Q28" i="4" s="1"/>
  <c r="Q29" i="4" s="1"/>
  <c r="Q30" i="4" s="1"/>
  <c r="Q31" i="4" s="1"/>
  <c r="Q32" i="4" s="1"/>
  <c r="Q33" i="4" s="1"/>
  <c r="Q34" i="4" s="1"/>
  <c r="Q35" i="4" s="1"/>
  <c r="Q36" i="4" s="1"/>
  <c r="Q37" i="4" s="1"/>
  <c r="Q38" i="4" s="1"/>
  <c r="Q39" i="4" s="1"/>
  <c r="Q40" i="4" s="1"/>
  <c r="Q41" i="4" s="1"/>
  <c r="Q42" i="4" s="1"/>
  <c r="Q43" i="4" s="1"/>
  <c r="Q44" i="4" s="1"/>
  <c r="Q45" i="4" s="1"/>
  <c r="Q46" i="4" s="1"/>
  <c r="Q47" i="4" s="1"/>
  <c r="Q48" i="4" s="1"/>
  <c r="Q49" i="4" s="1"/>
  <c r="Q50" i="4" s="1"/>
  <c r="Q51" i="4" s="1"/>
  <c r="Q52" i="4" s="1"/>
  <c r="Q53" i="4" s="1"/>
  <c r="Q54" i="4" s="1"/>
  <c r="Q55" i="4" s="1"/>
  <c r="Q56" i="4" s="1"/>
  <c r="Q57" i="4" s="1"/>
  <c r="Q58" i="4" s="1"/>
  <c r="Q59" i="4" s="1"/>
  <c r="Q60" i="4" s="1"/>
  <c r="Q61" i="4" s="1"/>
  <c r="Q62" i="4" s="1"/>
  <c r="Q63" i="4" s="1"/>
  <c r="Q64" i="4" s="1"/>
  <c r="Q65" i="4" s="1"/>
  <c r="Q66" i="4" s="1"/>
  <c r="Q67" i="4" s="1"/>
  <c r="Q68" i="4" s="1"/>
  <c r="Q69" i="4" s="1"/>
  <c r="Q70" i="4" s="1"/>
  <c r="Q71" i="4" s="1"/>
  <c r="Q72" i="4" s="1"/>
  <c r="Q73" i="4" s="1"/>
  <c r="Q74" i="4" s="1"/>
  <c r="Q75" i="4" s="1"/>
  <c r="Q76" i="4" s="1"/>
  <c r="Q77" i="4" s="1"/>
  <c r="Q78" i="4" s="1"/>
  <c r="B12" i="4"/>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L8" i="4"/>
  <c r="L45" i="4" s="1"/>
  <c r="K8" i="4"/>
  <c r="K54" i="4" s="1"/>
  <c r="J8" i="4"/>
  <c r="J39" i="4" s="1"/>
  <c r="I8" i="4"/>
  <c r="H8" i="4"/>
  <c r="H41" i="4" s="1"/>
  <c r="G8" i="4"/>
  <c r="G53" i="4" s="1"/>
  <c r="F8" i="4"/>
  <c r="F53" i="4" s="1"/>
  <c r="D8" i="4"/>
  <c r="D44" i="4" s="1"/>
  <c r="E44" i="4" s="1"/>
  <c r="M84" i="3"/>
  <c r="L84" i="3"/>
  <c r="K84" i="3"/>
  <c r="J84" i="3"/>
  <c r="I84" i="3"/>
  <c r="G84" i="3"/>
  <c r="F84" i="3"/>
  <c r="E84" i="3"/>
  <c r="D84" i="3"/>
  <c r="C84" i="3"/>
  <c r="M83" i="3"/>
  <c r="L83" i="3"/>
  <c r="K83" i="3"/>
  <c r="J83" i="3"/>
  <c r="I83" i="3"/>
  <c r="G83" i="3"/>
  <c r="F83" i="3"/>
  <c r="E83" i="3"/>
  <c r="D83" i="3"/>
  <c r="C83" i="3"/>
  <c r="M82" i="3"/>
  <c r="L82" i="3"/>
  <c r="K82" i="3"/>
  <c r="J82" i="3"/>
  <c r="I82" i="3"/>
  <c r="G82" i="3"/>
  <c r="F82" i="3"/>
  <c r="E82" i="3"/>
  <c r="D82" i="3"/>
  <c r="C82" i="3"/>
  <c r="M81" i="3"/>
  <c r="L81" i="3"/>
  <c r="K81" i="3"/>
  <c r="J81" i="3"/>
  <c r="I81" i="3"/>
  <c r="G81" i="3"/>
  <c r="F81" i="3"/>
  <c r="E81" i="3"/>
  <c r="D81" i="3"/>
  <c r="C81" i="3"/>
  <c r="M80" i="3"/>
  <c r="L80" i="3"/>
  <c r="K80" i="3"/>
  <c r="J80" i="3"/>
  <c r="I80" i="3"/>
  <c r="G80" i="3"/>
  <c r="F80" i="3"/>
  <c r="E80" i="3"/>
  <c r="D80" i="3"/>
  <c r="C80" i="3"/>
  <c r="M79" i="3"/>
  <c r="L79" i="3"/>
  <c r="K79" i="3"/>
  <c r="J79" i="3"/>
  <c r="I79" i="3"/>
  <c r="G79" i="3"/>
  <c r="F79" i="3"/>
  <c r="E79" i="3"/>
  <c r="D79" i="3"/>
  <c r="C79" i="3"/>
  <c r="M78" i="3"/>
  <c r="L78" i="3"/>
  <c r="K78" i="3"/>
  <c r="J78" i="3"/>
  <c r="I78" i="3"/>
  <c r="G78" i="3"/>
  <c r="F78" i="3"/>
  <c r="E78" i="3"/>
  <c r="D78" i="3"/>
  <c r="C78" i="3"/>
  <c r="M77" i="3"/>
  <c r="L77" i="3"/>
  <c r="K77" i="3"/>
  <c r="J77" i="3"/>
  <c r="I77" i="3"/>
  <c r="G77" i="3"/>
  <c r="F77" i="3"/>
  <c r="E77" i="3"/>
  <c r="D77" i="3"/>
  <c r="C77" i="3"/>
  <c r="M76" i="3"/>
  <c r="L76" i="3"/>
  <c r="K76" i="3"/>
  <c r="J76" i="3"/>
  <c r="I76" i="3"/>
  <c r="G76" i="3"/>
  <c r="F76" i="3"/>
  <c r="E76" i="3"/>
  <c r="D76" i="3"/>
  <c r="C76" i="3"/>
  <c r="M75" i="3"/>
  <c r="L75" i="3"/>
  <c r="K75" i="3"/>
  <c r="J75" i="3"/>
  <c r="I75" i="3"/>
  <c r="G75" i="3"/>
  <c r="F75" i="3"/>
  <c r="E75" i="3"/>
  <c r="D75" i="3"/>
  <c r="C75" i="3"/>
  <c r="M74" i="3"/>
  <c r="L74" i="3"/>
  <c r="K74" i="3"/>
  <c r="J74" i="3"/>
  <c r="I74" i="3"/>
  <c r="G74" i="3"/>
  <c r="F74" i="3"/>
  <c r="E74" i="3"/>
  <c r="D74" i="3"/>
  <c r="C74" i="3"/>
  <c r="M73" i="3"/>
  <c r="L73" i="3"/>
  <c r="K73" i="3"/>
  <c r="J73" i="3"/>
  <c r="I73" i="3"/>
  <c r="G73" i="3"/>
  <c r="F73" i="3"/>
  <c r="E73" i="3"/>
  <c r="D73" i="3"/>
  <c r="C73" i="3"/>
  <c r="M72" i="3"/>
  <c r="L72" i="3"/>
  <c r="K72" i="3"/>
  <c r="J72" i="3"/>
  <c r="I72" i="3"/>
  <c r="G72" i="3"/>
  <c r="F72" i="3"/>
  <c r="E72" i="3"/>
  <c r="D72" i="3"/>
  <c r="C72" i="3"/>
  <c r="M71" i="3"/>
  <c r="L71" i="3"/>
  <c r="K71" i="3"/>
  <c r="J71" i="3"/>
  <c r="I71" i="3"/>
  <c r="G71" i="3"/>
  <c r="F71" i="3"/>
  <c r="E71" i="3"/>
  <c r="D71" i="3"/>
  <c r="C71" i="3"/>
  <c r="M70" i="3"/>
  <c r="L70" i="3"/>
  <c r="K70" i="3"/>
  <c r="J70" i="3"/>
  <c r="I70" i="3"/>
  <c r="G70" i="3"/>
  <c r="F70" i="3"/>
  <c r="E70" i="3"/>
  <c r="D70" i="3"/>
  <c r="C70" i="3"/>
  <c r="M69" i="3"/>
  <c r="L69" i="3"/>
  <c r="K69" i="3"/>
  <c r="J69" i="3"/>
  <c r="I69" i="3"/>
  <c r="G69" i="3"/>
  <c r="F69" i="3"/>
  <c r="E69" i="3"/>
  <c r="D69" i="3"/>
  <c r="C69" i="3"/>
  <c r="M68" i="3"/>
  <c r="L68" i="3"/>
  <c r="K68" i="3"/>
  <c r="J68" i="3"/>
  <c r="I68" i="3"/>
  <c r="G68" i="3"/>
  <c r="F68" i="3"/>
  <c r="E68" i="3"/>
  <c r="D68" i="3"/>
  <c r="C68" i="3"/>
  <c r="M67" i="3"/>
  <c r="L67" i="3"/>
  <c r="K67" i="3"/>
  <c r="J67" i="3"/>
  <c r="I67" i="3"/>
  <c r="G67" i="3"/>
  <c r="F67" i="3"/>
  <c r="E67" i="3"/>
  <c r="D67" i="3"/>
  <c r="C67" i="3"/>
  <c r="M66" i="3"/>
  <c r="L66" i="3"/>
  <c r="K66" i="3"/>
  <c r="J66" i="3"/>
  <c r="I66" i="3"/>
  <c r="G66" i="3"/>
  <c r="F66" i="3"/>
  <c r="E66" i="3"/>
  <c r="D66" i="3"/>
  <c r="C66" i="3"/>
  <c r="M65" i="3"/>
  <c r="L65" i="3"/>
  <c r="K65" i="3"/>
  <c r="J65" i="3"/>
  <c r="I65" i="3"/>
  <c r="G65" i="3"/>
  <c r="F65" i="3"/>
  <c r="E65" i="3"/>
  <c r="D65" i="3"/>
  <c r="C65" i="3"/>
  <c r="M64" i="3"/>
  <c r="L64" i="3"/>
  <c r="K64" i="3"/>
  <c r="J64" i="3"/>
  <c r="I64" i="3"/>
  <c r="G64" i="3"/>
  <c r="F64" i="3"/>
  <c r="E64" i="3"/>
  <c r="D64" i="3"/>
  <c r="C64" i="3"/>
  <c r="M63" i="3"/>
  <c r="L63" i="3"/>
  <c r="K63" i="3"/>
  <c r="J63" i="3"/>
  <c r="I63" i="3"/>
  <c r="G63" i="3"/>
  <c r="F63" i="3"/>
  <c r="E63" i="3"/>
  <c r="D63" i="3"/>
  <c r="C63" i="3"/>
  <c r="M62" i="3"/>
  <c r="L62" i="3"/>
  <c r="K62" i="3"/>
  <c r="J62" i="3"/>
  <c r="I62" i="3"/>
  <c r="G62" i="3"/>
  <c r="F62" i="3"/>
  <c r="E62" i="3"/>
  <c r="D62" i="3"/>
  <c r="C62" i="3"/>
  <c r="M61" i="3"/>
  <c r="L61" i="3"/>
  <c r="K61" i="3"/>
  <c r="J61" i="3"/>
  <c r="I61" i="3"/>
  <c r="G61" i="3"/>
  <c r="F61" i="3"/>
  <c r="E61" i="3"/>
  <c r="D61" i="3"/>
  <c r="C61" i="3"/>
  <c r="M60" i="3"/>
  <c r="L60" i="3"/>
  <c r="K60" i="3"/>
  <c r="J60" i="3"/>
  <c r="I60" i="3"/>
  <c r="G60" i="3"/>
  <c r="F60" i="3"/>
  <c r="E60" i="3"/>
  <c r="D60" i="3"/>
  <c r="C60" i="3"/>
  <c r="M59" i="3"/>
  <c r="L59" i="3"/>
  <c r="K59" i="3"/>
  <c r="J59" i="3"/>
  <c r="I59" i="3"/>
  <c r="G59" i="3"/>
  <c r="F59" i="3"/>
  <c r="E59" i="3"/>
  <c r="D59" i="3"/>
  <c r="C59" i="3"/>
  <c r="M58" i="3"/>
  <c r="L58" i="3"/>
  <c r="K58" i="3"/>
  <c r="J58" i="3"/>
  <c r="I58" i="3"/>
  <c r="G58" i="3"/>
  <c r="F58" i="3"/>
  <c r="E58" i="3"/>
  <c r="D58" i="3"/>
  <c r="C58" i="3"/>
  <c r="J57" i="3"/>
  <c r="I57" i="3"/>
  <c r="F57" i="3"/>
  <c r="D57" i="3"/>
  <c r="C57" i="3"/>
  <c r="J56" i="3"/>
  <c r="I56" i="3"/>
  <c r="F56" i="3"/>
  <c r="D56" i="3"/>
  <c r="C56" i="3"/>
  <c r="J55" i="3"/>
  <c r="I55" i="3"/>
  <c r="F55" i="3"/>
  <c r="D55" i="3"/>
  <c r="C55" i="3"/>
  <c r="J54" i="3"/>
  <c r="I54" i="3"/>
  <c r="F54" i="3"/>
  <c r="D54" i="3"/>
  <c r="C54" i="3"/>
  <c r="J53" i="3"/>
  <c r="I53" i="3"/>
  <c r="S53" i="3" s="1"/>
  <c r="D54" i="20" s="1"/>
  <c r="F53" i="3"/>
  <c r="D53" i="3"/>
  <c r="C53" i="3"/>
  <c r="J52" i="3"/>
  <c r="I52" i="3"/>
  <c r="F52" i="3"/>
  <c r="D52" i="3"/>
  <c r="C52" i="3"/>
  <c r="J51" i="3"/>
  <c r="I51" i="3"/>
  <c r="F51" i="3"/>
  <c r="D51" i="3"/>
  <c r="C51" i="3"/>
  <c r="J50" i="3"/>
  <c r="I50" i="3"/>
  <c r="F50" i="3"/>
  <c r="D50" i="3"/>
  <c r="C50" i="3"/>
  <c r="J49" i="3"/>
  <c r="I49" i="3"/>
  <c r="F49" i="3"/>
  <c r="D49" i="3"/>
  <c r="C49" i="3"/>
  <c r="J48" i="3"/>
  <c r="I48" i="3"/>
  <c r="F48" i="3"/>
  <c r="D48" i="3"/>
  <c r="C48" i="3"/>
  <c r="J47" i="3"/>
  <c r="I47" i="3"/>
  <c r="F47" i="3"/>
  <c r="D47" i="3"/>
  <c r="C47" i="3"/>
  <c r="J46" i="3"/>
  <c r="I46" i="3"/>
  <c r="F46" i="3"/>
  <c r="D46" i="3"/>
  <c r="C46" i="3"/>
  <c r="J45" i="3"/>
  <c r="I45" i="3"/>
  <c r="F45" i="3"/>
  <c r="D45" i="3"/>
  <c r="C45" i="3"/>
  <c r="J44" i="3"/>
  <c r="I44" i="3"/>
  <c r="F44" i="3"/>
  <c r="D44" i="3"/>
  <c r="C44" i="3"/>
  <c r="J43" i="3"/>
  <c r="I43" i="3"/>
  <c r="F43" i="3"/>
  <c r="D43" i="3"/>
  <c r="C43" i="3"/>
  <c r="J42" i="3"/>
  <c r="I42" i="3"/>
  <c r="F42" i="3"/>
  <c r="D42" i="3"/>
  <c r="C42" i="3"/>
  <c r="J41" i="3"/>
  <c r="I41" i="3"/>
  <c r="F41" i="3"/>
  <c r="D41" i="3"/>
  <c r="C41" i="3"/>
  <c r="J40" i="3"/>
  <c r="I40" i="3"/>
  <c r="F40" i="3"/>
  <c r="D40" i="3"/>
  <c r="C40" i="3"/>
  <c r="J39" i="3"/>
  <c r="I39" i="3"/>
  <c r="F39" i="3"/>
  <c r="D39" i="3"/>
  <c r="C39" i="3"/>
  <c r="J38" i="3"/>
  <c r="I38" i="3"/>
  <c r="F38" i="3"/>
  <c r="D38" i="3"/>
  <c r="C38" i="3"/>
  <c r="J37" i="3"/>
  <c r="I37" i="3"/>
  <c r="S37" i="3" s="1"/>
  <c r="D38" i="20" s="1"/>
  <c r="F37" i="3"/>
  <c r="D37" i="3"/>
  <c r="C37" i="3"/>
  <c r="J36" i="3"/>
  <c r="I36" i="3"/>
  <c r="F36" i="3"/>
  <c r="D36" i="3"/>
  <c r="C36" i="3"/>
  <c r="J35" i="3"/>
  <c r="I35" i="3"/>
  <c r="F35" i="3"/>
  <c r="D35" i="3"/>
  <c r="C35" i="3"/>
  <c r="J34" i="3"/>
  <c r="I34" i="3"/>
  <c r="F34" i="3"/>
  <c r="D34" i="3"/>
  <c r="C34" i="3"/>
  <c r="J33" i="3"/>
  <c r="I33" i="3"/>
  <c r="F33" i="3"/>
  <c r="D33" i="3"/>
  <c r="C33" i="3"/>
  <c r="M32" i="3"/>
  <c r="L32" i="3"/>
  <c r="K32" i="3"/>
  <c r="J32" i="3"/>
  <c r="I32" i="3"/>
  <c r="F32" i="3"/>
  <c r="D32" i="3"/>
  <c r="C32" i="3"/>
  <c r="M31" i="3"/>
  <c r="L31" i="3"/>
  <c r="K31" i="3"/>
  <c r="J31" i="3"/>
  <c r="I31" i="3"/>
  <c r="F31" i="3"/>
  <c r="D31" i="3"/>
  <c r="C31" i="3"/>
  <c r="M30" i="3"/>
  <c r="L30" i="3"/>
  <c r="K30" i="3"/>
  <c r="J30" i="3"/>
  <c r="I30" i="3"/>
  <c r="F30" i="3"/>
  <c r="D30" i="3"/>
  <c r="C30" i="3"/>
  <c r="M29" i="3"/>
  <c r="L29" i="3"/>
  <c r="K29" i="3"/>
  <c r="J29" i="3"/>
  <c r="I29" i="3"/>
  <c r="F29" i="3"/>
  <c r="D29" i="3"/>
  <c r="C29" i="3"/>
  <c r="M28" i="3"/>
  <c r="L28" i="3"/>
  <c r="K28" i="3"/>
  <c r="J28" i="3"/>
  <c r="I28" i="3"/>
  <c r="F28" i="3"/>
  <c r="D28" i="3"/>
  <c r="C28" i="3"/>
  <c r="M27" i="3"/>
  <c r="L27" i="3"/>
  <c r="K27" i="3"/>
  <c r="J27" i="3"/>
  <c r="I27" i="3"/>
  <c r="F27" i="3"/>
  <c r="D27" i="3"/>
  <c r="C27" i="3"/>
  <c r="M26" i="3"/>
  <c r="L26" i="3"/>
  <c r="K26" i="3"/>
  <c r="J26" i="3"/>
  <c r="I26" i="3"/>
  <c r="F26" i="3"/>
  <c r="D26" i="3"/>
  <c r="C26" i="3"/>
  <c r="M25" i="3"/>
  <c r="L25" i="3"/>
  <c r="K25" i="3"/>
  <c r="J25" i="3"/>
  <c r="I25" i="3"/>
  <c r="F25" i="3"/>
  <c r="D25" i="3"/>
  <c r="C25" i="3"/>
  <c r="M24" i="3"/>
  <c r="L24" i="3"/>
  <c r="K24" i="3"/>
  <c r="J24" i="3"/>
  <c r="I24" i="3"/>
  <c r="F24" i="3"/>
  <c r="D24" i="3"/>
  <c r="C24" i="3"/>
  <c r="M23" i="3"/>
  <c r="L23" i="3"/>
  <c r="K23" i="3"/>
  <c r="J23" i="3"/>
  <c r="I23" i="3"/>
  <c r="F23" i="3"/>
  <c r="D23" i="3"/>
  <c r="C23" i="3"/>
  <c r="M22" i="3"/>
  <c r="L22" i="3"/>
  <c r="K22" i="3"/>
  <c r="J22" i="3"/>
  <c r="I22" i="3"/>
  <c r="F22" i="3"/>
  <c r="D22" i="3"/>
  <c r="C22" i="3"/>
  <c r="M21" i="3"/>
  <c r="L21" i="3"/>
  <c r="K21" i="3"/>
  <c r="J21" i="3"/>
  <c r="I21" i="3"/>
  <c r="F21" i="3"/>
  <c r="D21" i="3"/>
  <c r="C21" i="3"/>
  <c r="M20" i="3"/>
  <c r="L20" i="3"/>
  <c r="K20" i="3"/>
  <c r="J20" i="3"/>
  <c r="I20" i="3"/>
  <c r="F20" i="3"/>
  <c r="D20" i="3"/>
  <c r="C20" i="3"/>
  <c r="M19" i="3"/>
  <c r="L19" i="3"/>
  <c r="K19" i="3"/>
  <c r="J19" i="3"/>
  <c r="I19" i="3"/>
  <c r="F19" i="3"/>
  <c r="D19" i="3"/>
  <c r="C19" i="3"/>
  <c r="M18" i="3"/>
  <c r="L18" i="3"/>
  <c r="K18" i="3"/>
  <c r="J18" i="3"/>
  <c r="I18" i="3"/>
  <c r="F18" i="3"/>
  <c r="D18" i="3"/>
  <c r="C18" i="3"/>
  <c r="B18" i="3"/>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C13" i="3"/>
  <c r="E52" i="2"/>
  <c r="D52" i="2"/>
  <c r="B52" i="2"/>
  <c r="D51" i="2"/>
  <c r="E51" i="2" s="1"/>
  <c r="B51" i="2"/>
  <c r="D50" i="2"/>
  <c r="E50" i="2" s="1"/>
  <c r="B50" i="2"/>
  <c r="E47" i="2"/>
  <c r="E46" i="2"/>
  <c r="E41" i="2"/>
  <c r="D41" i="2"/>
  <c r="G35" i="2"/>
  <c r="D35" i="2"/>
  <c r="E35" i="2" s="1"/>
  <c r="C35" i="2"/>
  <c r="B35" i="2"/>
  <c r="E34" i="2"/>
  <c r="D33" i="2"/>
  <c r="E33" i="2" s="1"/>
  <c r="M33" i="2" s="1"/>
  <c r="I8" i="18" s="1"/>
  <c r="I12" i="18" s="1"/>
  <c r="C33" i="2"/>
  <c r="B33" i="2"/>
  <c r="D32" i="2"/>
  <c r="E32" i="2" s="1"/>
  <c r="M32" i="2" s="1"/>
  <c r="I8" i="17" s="1"/>
  <c r="I10" i="17" s="1"/>
  <c r="C32" i="2"/>
  <c r="B32" i="2"/>
  <c r="G31" i="2"/>
  <c r="D31" i="2"/>
  <c r="E31" i="2" s="1"/>
  <c r="M31" i="2" s="1"/>
  <c r="I8" i="16" s="1"/>
  <c r="I12" i="16" s="1"/>
  <c r="C31" i="2"/>
  <c r="B31" i="2"/>
  <c r="D30" i="2"/>
  <c r="E30" i="2" s="1"/>
  <c r="M30" i="2" s="1"/>
  <c r="I8" i="15" s="1"/>
  <c r="I12" i="15" s="1"/>
  <c r="C30" i="2"/>
  <c r="B30" i="2"/>
  <c r="D29" i="2"/>
  <c r="E29" i="2" s="1"/>
  <c r="M29" i="2" s="1"/>
  <c r="I8" i="14" s="1"/>
  <c r="I12" i="14" s="1"/>
  <c r="C29" i="2"/>
  <c r="B29" i="2"/>
  <c r="G28" i="2"/>
  <c r="D28" i="2"/>
  <c r="E28" i="2" s="1"/>
  <c r="M28" i="2" s="1"/>
  <c r="I8" i="13" s="1"/>
  <c r="I12" i="13" s="1"/>
  <c r="C28" i="2"/>
  <c r="B28" i="2"/>
  <c r="G27" i="2"/>
  <c r="D27" i="2"/>
  <c r="E27" i="2" s="1"/>
  <c r="M27" i="2" s="1"/>
  <c r="I8" i="12" s="1"/>
  <c r="I12" i="12" s="1"/>
  <c r="C27" i="2"/>
  <c r="B27" i="2"/>
  <c r="E23" i="2"/>
  <c r="G21" i="2"/>
  <c r="D21" i="2"/>
  <c r="E21" i="2" s="1"/>
  <c r="M21" i="2" s="1"/>
  <c r="I6" i="20" s="1"/>
  <c r="C21" i="2"/>
  <c r="B21" i="2"/>
  <c r="M20" i="2"/>
  <c r="H6" i="19" s="1"/>
  <c r="D75" i="19" s="1"/>
  <c r="E20" i="2"/>
  <c r="D19" i="2"/>
  <c r="E19" i="2" s="1"/>
  <c r="M19" i="2" s="1"/>
  <c r="C19" i="2"/>
  <c r="B19" i="2"/>
  <c r="D18" i="2"/>
  <c r="E18" i="2" s="1"/>
  <c r="M18" i="2" s="1"/>
  <c r="I6" i="17" s="1"/>
  <c r="C18" i="2"/>
  <c r="B18" i="2"/>
  <c r="G17" i="2"/>
  <c r="D17" i="2"/>
  <c r="E17" i="2" s="1"/>
  <c r="M17" i="2" s="1"/>
  <c r="C17" i="2"/>
  <c r="B17" i="2"/>
  <c r="E16" i="2"/>
  <c r="M16" i="2" s="1"/>
  <c r="I6" i="15" s="1"/>
  <c r="D16" i="2"/>
  <c r="C16" i="2"/>
  <c r="B16" i="2"/>
  <c r="D15" i="2"/>
  <c r="E15" i="2" s="1"/>
  <c r="M15" i="2" s="1"/>
  <c r="I6" i="14" s="1"/>
  <c r="C15" i="2"/>
  <c r="B15" i="2"/>
  <c r="G14" i="2"/>
  <c r="E14" i="2"/>
  <c r="M14" i="2" s="1"/>
  <c r="I6" i="13" s="1"/>
  <c r="D14" i="2"/>
  <c r="C14" i="2"/>
  <c r="B14" i="2"/>
  <c r="G13" i="2"/>
  <c r="D13" i="2"/>
  <c r="E13" i="2" s="1"/>
  <c r="M13" i="2" s="1"/>
  <c r="I6" i="12" s="1"/>
  <c r="C13" i="2"/>
  <c r="B13" i="2"/>
  <c r="G88" i="13" l="1"/>
  <c r="F106" i="20"/>
  <c r="G88" i="18"/>
  <c r="G98" i="17"/>
  <c r="G108" i="12"/>
  <c r="F97" i="17"/>
  <c r="B88" i="18"/>
  <c r="B81" i="5"/>
  <c r="B88" i="13"/>
  <c r="B88" i="14"/>
  <c r="B88" i="15"/>
  <c r="B88" i="16"/>
  <c r="B88" i="17"/>
  <c r="B88" i="20"/>
  <c r="B88" i="12"/>
  <c r="F108" i="18"/>
  <c r="F91" i="20"/>
  <c r="G90" i="14"/>
  <c r="F107" i="13"/>
  <c r="F100" i="18"/>
  <c r="F97" i="16"/>
  <c r="F98" i="15"/>
  <c r="F99" i="17"/>
  <c r="F89" i="20"/>
  <c r="G88" i="19"/>
  <c r="F106" i="13"/>
  <c r="E105" i="14"/>
  <c r="G88" i="17"/>
  <c r="F90" i="19"/>
  <c r="G90" i="19"/>
  <c r="F92" i="13"/>
  <c r="G92" i="13"/>
  <c r="F89" i="13"/>
  <c r="G89" i="13"/>
  <c r="G105" i="12"/>
  <c r="F105" i="12"/>
  <c r="G92" i="19"/>
  <c r="F92" i="19"/>
  <c r="F100" i="12"/>
  <c r="G100" i="12"/>
  <c r="G99" i="16"/>
  <c r="F99" i="16"/>
  <c r="G98" i="16"/>
  <c r="F98" i="16"/>
  <c r="F92" i="20"/>
  <c r="G92" i="20"/>
  <c r="G106" i="16"/>
  <c r="F106" i="16"/>
  <c r="G97" i="18"/>
  <c r="F97" i="18"/>
  <c r="F107" i="16"/>
  <c r="G107" i="16"/>
  <c r="G106" i="19"/>
  <c r="F106" i="19"/>
  <c r="F90" i="13"/>
  <c r="G90" i="13"/>
  <c r="G89" i="14"/>
  <c r="F89" i="14"/>
  <c r="G97" i="14"/>
  <c r="F97" i="14"/>
  <c r="G105" i="14"/>
  <c r="F105" i="14"/>
  <c r="G88" i="14"/>
  <c r="F88" i="14"/>
  <c r="G98" i="19"/>
  <c r="F98" i="19"/>
  <c r="F91" i="17"/>
  <c r="D87" i="18"/>
  <c r="E87" i="18" s="1"/>
  <c r="D87" i="14"/>
  <c r="E87" i="14" s="1"/>
  <c r="D87" i="17"/>
  <c r="E87" i="17" s="1"/>
  <c r="D87" i="13"/>
  <c r="E87" i="13" s="1"/>
  <c r="D87" i="15"/>
  <c r="E87" i="15" s="1"/>
  <c r="G87" i="15" s="1"/>
  <c r="D87" i="16"/>
  <c r="E87" i="16" s="1"/>
  <c r="D87" i="12"/>
  <c r="E87" i="12" s="1"/>
  <c r="C87" i="19"/>
  <c r="E87" i="19" s="1"/>
  <c r="G89" i="18"/>
  <c r="F89" i="18"/>
  <c r="D109" i="13"/>
  <c r="E109" i="13" s="1"/>
  <c r="D109" i="14"/>
  <c r="E109" i="14" s="1"/>
  <c r="D109" i="15"/>
  <c r="E109" i="15" s="1"/>
  <c r="D109" i="16"/>
  <c r="D109" i="17"/>
  <c r="E109" i="17" s="1"/>
  <c r="F109" i="17" s="1"/>
  <c r="D109" i="18"/>
  <c r="E109" i="18" s="1"/>
  <c r="D109" i="12"/>
  <c r="E109" i="12" s="1"/>
  <c r="C109" i="19"/>
  <c r="E109" i="19" s="1"/>
  <c r="F92" i="18"/>
  <c r="G91" i="12"/>
  <c r="D101" i="13"/>
  <c r="E101" i="13" s="1"/>
  <c r="D101" i="14"/>
  <c r="E101" i="14" s="1"/>
  <c r="D101" i="15"/>
  <c r="E101" i="15" s="1"/>
  <c r="D101" i="16"/>
  <c r="E101" i="16" s="1"/>
  <c r="D101" i="17"/>
  <c r="E101" i="17" s="1"/>
  <c r="D101" i="18"/>
  <c r="E101" i="18" s="1"/>
  <c r="D101" i="12"/>
  <c r="E101" i="12" s="1"/>
  <c r="C101" i="19"/>
  <c r="E101" i="19" s="1"/>
  <c r="G105" i="18"/>
  <c r="F105" i="18"/>
  <c r="G100" i="15"/>
  <c r="F90" i="20"/>
  <c r="F101" i="20"/>
  <c r="E109" i="16"/>
  <c r="G109" i="16" s="1"/>
  <c r="G107" i="19"/>
  <c r="F97" i="13"/>
  <c r="D93" i="13"/>
  <c r="E93" i="13" s="1"/>
  <c r="D93" i="14"/>
  <c r="E93" i="14" s="1"/>
  <c r="D93" i="15"/>
  <c r="E93" i="15" s="1"/>
  <c r="D93" i="16"/>
  <c r="E93" i="16" s="1"/>
  <c r="D93" i="17"/>
  <c r="E93" i="17" s="1"/>
  <c r="D93" i="18"/>
  <c r="E93" i="18" s="1"/>
  <c r="D93" i="12"/>
  <c r="E93" i="12" s="1"/>
  <c r="C93" i="19"/>
  <c r="E93" i="19" s="1"/>
  <c r="D94" i="12"/>
  <c r="E94" i="12" s="1"/>
  <c r="C94" i="19"/>
  <c r="E94" i="19" s="1"/>
  <c r="D94" i="18"/>
  <c r="E94" i="18" s="1"/>
  <c r="D94" i="13"/>
  <c r="E94" i="13" s="1"/>
  <c r="D94" i="14"/>
  <c r="E94" i="14" s="1"/>
  <c r="D94" i="15"/>
  <c r="E94" i="15" s="1"/>
  <c r="D94" i="16"/>
  <c r="E94" i="16" s="1"/>
  <c r="D94" i="17"/>
  <c r="E94" i="17" s="1"/>
  <c r="D104" i="13"/>
  <c r="E104" i="13" s="1"/>
  <c r="D104" i="14"/>
  <c r="E104" i="14" s="1"/>
  <c r="D104" i="15"/>
  <c r="E104" i="15" s="1"/>
  <c r="D104" i="16"/>
  <c r="E104" i="16" s="1"/>
  <c r="D104" i="17"/>
  <c r="E104" i="17" s="1"/>
  <c r="D104" i="12"/>
  <c r="E104" i="12" s="1"/>
  <c r="D104" i="18"/>
  <c r="E104" i="18" s="1"/>
  <c r="C104" i="19"/>
  <c r="E104" i="19" s="1"/>
  <c r="F104" i="19" s="1"/>
  <c r="G108" i="15"/>
  <c r="F99" i="14"/>
  <c r="E108" i="19"/>
  <c r="F106" i="15"/>
  <c r="F98" i="14"/>
  <c r="D96" i="18"/>
  <c r="E96" i="18" s="1"/>
  <c r="D96" i="13"/>
  <c r="E96" i="13" s="1"/>
  <c r="D96" i="14"/>
  <c r="E96" i="14" s="1"/>
  <c r="D96" i="15"/>
  <c r="E96" i="15" s="1"/>
  <c r="D96" i="16"/>
  <c r="E96" i="16" s="1"/>
  <c r="D96" i="17"/>
  <c r="E96" i="17" s="1"/>
  <c r="D96" i="12"/>
  <c r="E96" i="12" s="1"/>
  <c r="C96" i="19"/>
  <c r="E96" i="19" s="1"/>
  <c r="D102" i="12"/>
  <c r="E102" i="12" s="1"/>
  <c r="C102" i="19"/>
  <c r="E102" i="19" s="1"/>
  <c r="F102" i="19" s="1"/>
  <c r="D102" i="18"/>
  <c r="E102" i="18" s="1"/>
  <c r="D102" i="13"/>
  <c r="E102" i="13" s="1"/>
  <c r="D102" i="14"/>
  <c r="E102" i="14" s="1"/>
  <c r="D102" i="15"/>
  <c r="E102" i="15" s="1"/>
  <c r="D102" i="16"/>
  <c r="E102" i="16" s="1"/>
  <c r="D102" i="17"/>
  <c r="E102" i="17" s="1"/>
  <c r="G88" i="16"/>
  <c r="G87" i="20"/>
  <c r="F98" i="12"/>
  <c r="F99" i="12"/>
  <c r="F105" i="13"/>
  <c r="D86" i="12"/>
  <c r="E86" i="12" s="1"/>
  <c r="C86" i="19"/>
  <c r="E86" i="19" s="1"/>
  <c r="D86" i="13"/>
  <c r="E86" i="13" s="1"/>
  <c r="D86" i="14"/>
  <c r="E86" i="14" s="1"/>
  <c r="D86" i="15"/>
  <c r="E86" i="15" s="1"/>
  <c r="D86" i="16"/>
  <c r="E86" i="16" s="1"/>
  <c r="D86" i="17"/>
  <c r="E86" i="17" s="1"/>
  <c r="G86" i="17" s="1"/>
  <c r="D86" i="18"/>
  <c r="E86" i="18" s="1"/>
  <c r="G90" i="18"/>
  <c r="F90" i="18"/>
  <c r="G98" i="18"/>
  <c r="F98" i="18"/>
  <c r="G92" i="15"/>
  <c r="D103" i="18"/>
  <c r="E103" i="18" s="1"/>
  <c r="D103" i="13"/>
  <c r="E103" i="13" s="1"/>
  <c r="F103" i="13" s="1"/>
  <c r="D103" i="14"/>
  <c r="E103" i="14" s="1"/>
  <c r="D103" i="15"/>
  <c r="E103" i="15" s="1"/>
  <c r="D103" i="16"/>
  <c r="E103" i="16" s="1"/>
  <c r="D103" i="17"/>
  <c r="E103" i="17" s="1"/>
  <c r="D103" i="12"/>
  <c r="E103" i="12" s="1"/>
  <c r="C103" i="19"/>
  <c r="E103" i="19" s="1"/>
  <c r="F92" i="17"/>
  <c r="D95" i="12"/>
  <c r="E95" i="12" s="1"/>
  <c r="D95" i="18"/>
  <c r="E95" i="18" s="1"/>
  <c r="D95" i="16"/>
  <c r="E95" i="16" s="1"/>
  <c r="D95" i="17"/>
  <c r="E95" i="17" s="1"/>
  <c r="F95" i="17" s="1"/>
  <c r="D95" i="13"/>
  <c r="E95" i="13" s="1"/>
  <c r="D95" i="14"/>
  <c r="E95" i="14" s="1"/>
  <c r="G95" i="14" s="1"/>
  <c r="D95" i="15"/>
  <c r="E95" i="15" s="1"/>
  <c r="C95" i="19"/>
  <c r="E95" i="19" s="1"/>
  <c r="G95" i="19" s="1"/>
  <c r="G106" i="18"/>
  <c r="F106" i="18"/>
  <c r="F91" i="18"/>
  <c r="G91" i="18"/>
  <c r="F99" i="18"/>
  <c r="G99" i="18"/>
  <c r="G105" i="16"/>
  <c r="F105" i="16"/>
  <c r="F109" i="16"/>
  <c r="G99" i="20"/>
  <c r="F107" i="12"/>
  <c r="F86" i="17"/>
  <c r="N97" i="4"/>
  <c r="F95" i="14"/>
  <c r="N91" i="4"/>
  <c r="N93" i="4"/>
  <c r="G107" i="17"/>
  <c r="F107" i="17"/>
  <c r="N87" i="4"/>
  <c r="F108" i="13"/>
  <c r="G108" i="13"/>
  <c r="G106" i="14"/>
  <c r="F106" i="14"/>
  <c r="N85" i="4"/>
  <c r="N81" i="4"/>
  <c r="G100" i="20"/>
  <c r="F100" i="20"/>
  <c r="G101" i="17"/>
  <c r="F101" i="17"/>
  <c r="G93" i="15"/>
  <c r="F93" i="15"/>
  <c r="G108" i="20"/>
  <c r="F108" i="20"/>
  <c r="G89" i="19"/>
  <c r="F89" i="19"/>
  <c r="F108" i="14"/>
  <c r="G108" i="14"/>
  <c r="G103" i="13"/>
  <c r="G95" i="13"/>
  <c r="F95" i="13"/>
  <c r="F105" i="19"/>
  <c r="G105" i="19"/>
  <c r="F96" i="19"/>
  <c r="G96" i="19"/>
  <c r="F105" i="20"/>
  <c r="G105" i="20"/>
  <c r="G95" i="16"/>
  <c r="F95" i="16"/>
  <c r="F100" i="13"/>
  <c r="G100" i="13"/>
  <c r="F97" i="19"/>
  <c r="G97" i="19"/>
  <c r="L19" i="4"/>
  <c r="H22" i="4"/>
  <c r="L26" i="4"/>
  <c r="L39" i="4"/>
  <c r="K20" i="4"/>
  <c r="D51" i="4"/>
  <c r="E51" i="4" s="1"/>
  <c r="D27" i="4"/>
  <c r="E27" i="4" s="1"/>
  <c r="G32" i="4"/>
  <c r="D13" i="4"/>
  <c r="E13" i="4" s="1"/>
  <c r="K18" i="4"/>
  <c r="D21" i="4"/>
  <c r="E21" i="4" s="1"/>
  <c r="J25" i="4"/>
  <c r="L21" i="4"/>
  <c r="S33" i="3"/>
  <c r="D34" i="20" s="1"/>
  <c r="H35" i="3"/>
  <c r="S41" i="3"/>
  <c r="D42" i="20" s="1"/>
  <c r="H51" i="3"/>
  <c r="R45" i="3"/>
  <c r="S63" i="3"/>
  <c r="D64" i="20" s="1"/>
  <c r="H39" i="3"/>
  <c r="S56" i="3"/>
  <c r="D57" i="20" s="1"/>
  <c r="M54" i="9" s="1"/>
  <c r="N25" i="3"/>
  <c r="S31" i="3"/>
  <c r="D32" i="20" s="1"/>
  <c r="N46" i="3"/>
  <c r="N49" i="3"/>
  <c r="N54" i="3"/>
  <c r="S74" i="3"/>
  <c r="D75" i="20" s="1"/>
  <c r="N78" i="3"/>
  <c r="S35" i="3"/>
  <c r="D36" i="20" s="1"/>
  <c r="S51" i="3"/>
  <c r="D52" i="20" s="1"/>
  <c r="H44" i="3"/>
  <c r="S50" i="3"/>
  <c r="D51" i="20" s="1"/>
  <c r="H52" i="3"/>
  <c r="R79" i="3"/>
  <c r="D80" i="17" s="1"/>
  <c r="R21" i="3"/>
  <c r="D22" i="12" s="1"/>
  <c r="H31" i="3"/>
  <c r="S42" i="3"/>
  <c r="D43" i="20" s="1"/>
  <c r="N65" i="3"/>
  <c r="S69" i="3"/>
  <c r="D70" i="20" s="1"/>
  <c r="H43" i="3"/>
  <c r="S19" i="3"/>
  <c r="D20" i="20" s="1"/>
  <c r="E20" i="20" s="1"/>
  <c r="N20" i="3"/>
  <c r="R33" i="3"/>
  <c r="D34" i="12" s="1"/>
  <c r="S34" i="3"/>
  <c r="D35" i="20" s="1"/>
  <c r="H36" i="3"/>
  <c r="S43" i="3"/>
  <c r="D44" i="20" s="1"/>
  <c r="H50" i="3"/>
  <c r="R54" i="3"/>
  <c r="D55" i="18" s="1"/>
  <c r="H72" i="3"/>
  <c r="R76" i="3"/>
  <c r="S79" i="3"/>
  <c r="D80" i="20" s="1"/>
  <c r="S23" i="3"/>
  <c r="D24" i="20" s="1"/>
  <c r="N26" i="3"/>
  <c r="S27" i="3"/>
  <c r="D28" i="20" s="1"/>
  <c r="K25" i="9" s="1"/>
  <c r="N28" i="3"/>
  <c r="S30" i="3"/>
  <c r="D31" i="20" s="1"/>
  <c r="R38" i="3"/>
  <c r="D39" i="12" s="1"/>
  <c r="S45" i="3"/>
  <c r="D46" i="20" s="1"/>
  <c r="H47" i="3"/>
  <c r="S48" i="3"/>
  <c r="D49" i="20" s="1"/>
  <c r="H56" i="3"/>
  <c r="S58" i="3"/>
  <c r="D59" i="20" s="1"/>
  <c r="K56" i="9" s="1"/>
  <c r="H61" i="3"/>
  <c r="N62" i="3"/>
  <c r="H64" i="3"/>
  <c r="N70" i="3"/>
  <c r="H80" i="3"/>
  <c r="R41" i="3"/>
  <c r="D42" i="12" s="1"/>
  <c r="S39" i="3"/>
  <c r="D40" i="20" s="1"/>
  <c r="E40" i="20" s="1"/>
  <c r="N45" i="3"/>
  <c r="H49" i="3"/>
  <c r="H58" i="3"/>
  <c r="H62" i="3"/>
  <c r="S71" i="3"/>
  <c r="D72" i="20" s="1"/>
  <c r="R34" i="3"/>
  <c r="D35" i="14" s="1"/>
  <c r="R55" i="3"/>
  <c r="D56" i="17" s="1"/>
  <c r="N71" i="3"/>
  <c r="H81" i="3"/>
  <c r="S83" i="3"/>
  <c r="D84" i="20" s="1"/>
  <c r="R20" i="3"/>
  <c r="D21" i="13" s="1"/>
  <c r="S20" i="3"/>
  <c r="D21" i="20" s="1"/>
  <c r="R37" i="3"/>
  <c r="D38" i="14" s="1"/>
  <c r="S38" i="3"/>
  <c r="D39" i="20" s="1"/>
  <c r="K36" i="9" s="1"/>
  <c r="H40" i="3"/>
  <c r="R46" i="3"/>
  <c r="D47" i="12" s="1"/>
  <c r="S68" i="3"/>
  <c r="D69" i="20" s="1"/>
  <c r="S72" i="3"/>
  <c r="D73" i="20" s="1"/>
  <c r="R18" i="3"/>
  <c r="D19" i="12" s="1"/>
  <c r="H22" i="3"/>
  <c r="R23" i="3"/>
  <c r="D24" i="17" s="1"/>
  <c r="H25" i="3"/>
  <c r="H29" i="3"/>
  <c r="R42" i="3"/>
  <c r="D43" i="14" s="1"/>
  <c r="H48" i="3"/>
  <c r="N53" i="3"/>
  <c r="R63" i="3"/>
  <c r="D64" i="12" s="1"/>
  <c r="S64" i="3"/>
  <c r="D65" i="20" s="1"/>
  <c r="R71" i="3"/>
  <c r="D72" i="16" s="1"/>
  <c r="S80" i="3"/>
  <c r="D81" i="20" s="1"/>
  <c r="C43" i="19"/>
  <c r="D43" i="16"/>
  <c r="D43" i="13"/>
  <c r="D72" i="14"/>
  <c r="D72" i="12"/>
  <c r="D39" i="13"/>
  <c r="C39" i="19"/>
  <c r="D55" i="16"/>
  <c r="D55" i="13"/>
  <c r="D55" i="17"/>
  <c r="C35" i="19"/>
  <c r="D35" i="16"/>
  <c r="D35" i="13"/>
  <c r="D47" i="16"/>
  <c r="D47" i="13"/>
  <c r="D47" i="17"/>
  <c r="D77" i="18"/>
  <c r="D77" i="17"/>
  <c r="D77" i="16"/>
  <c r="D77" i="15"/>
  <c r="D77" i="14"/>
  <c r="D77" i="13"/>
  <c r="C77" i="19"/>
  <c r="H24" i="3"/>
  <c r="H19" i="3"/>
  <c r="S24" i="3"/>
  <c r="D25" i="20" s="1"/>
  <c r="S25" i="3"/>
  <c r="D26" i="20" s="1"/>
  <c r="R26" i="3"/>
  <c r="H28" i="3"/>
  <c r="R29" i="3"/>
  <c r="H30" i="3"/>
  <c r="R31" i="3"/>
  <c r="S36" i="3"/>
  <c r="D37" i="20" s="1"/>
  <c r="S40" i="3"/>
  <c r="D41" i="20" s="1"/>
  <c r="S44" i="3"/>
  <c r="D45" i="20" s="1"/>
  <c r="H46" i="3"/>
  <c r="R51" i="3"/>
  <c r="S54" i="3"/>
  <c r="D55" i="20" s="1"/>
  <c r="S57" i="3"/>
  <c r="D58" i="20" s="1"/>
  <c r="K55" i="9" s="1"/>
  <c r="H60" i="3"/>
  <c r="S62" i="3"/>
  <c r="D63" i="20" s="1"/>
  <c r="N64" i="3"/>
  <c r="H66" i="3"/>
  <c r="H70" i="3"/>
  <c r="N73" i="3"/>
  <c r="S77" i="3"/>
  <c r="D78" i="20" s="1"/>
  <c r="K75" i="9" s="1"/>
  <c r="S82" i="3"/>
  <c r="D83" i="20" s="1"/>
  <c r="K80" i="9" s="1"/>
  <c r="N18" i="3"/>
  <c r="H20" i="3"/>
  <c r="N22" i="3"/>
  <c r="H33" i="3"/>
  <c r="N34" i="3"/>
  <c r="H37" i="3"/>
  <c r="N38" i="3"/>
  <c r="H41" i="3"/>
  <c r="N42" i="3"/>
  <c r="H45" i="3"/>
  <c r="S52" i="3"/>
  <c r="D53" i="20" s="1"/>
  <c r="H54" i="3"/>
  <c r="N57" i="3"/>
  <c r="S59" i="3"/>
  <c r="D60" i="20" s="1"/>
  <c r="K57" i="9" s="1"/>
  <c r="N61" i="3"/>
  <c r="H63" i="3"/>
  <c r="R64" i="3"/>
  <c r="H67" i="3"/>
  <c r="H76" i="3"/>
  <c r="S78" i="3"/>
  <c r="D79" i="20" s="1"/>
  <c r="H82" i="3"/>
  <c r="D38" i="17"/>
  <c r="D38" i="16"/>
  <c r="D38" i="15"/>
  <c r="D38" i="18"/>
  <c r="D42" i="18"/>
  <c r="D42" i="17"/>
  <c r="D42" i="16"/>
  <c r="D42" i="14"/>
  <c r="D46" i="17"/>
  <c r="D46" i="16"/>
  <c r="D46" i="15"/>
  <c r="D46" i="14"/>
  <c r="D46" i="13"/>
  <c r="D46" i="18"/>
  <c r="H77" i="3"/>
  <c r="R80" i="3"/>
  <c r="S84" i="3"/>
  <c r="D85" i="20" s="1"/>
  <c r="D34" i="13"/>
  <c r="C34" i="19"/>
  <c r="D34" i="18"/>
  <c r="D34" i="16"/>
  <c r="D34" i="14"/>
  <c r="S29" i="3"/>
  <c r="D30" i="20" s="1"/>
  <c r="N31" i="3"/>
  <c r="H32" i="3"/>
  <c r="R36" i="3"/>
  <c r="R40" i="3"/>
  <c r="R44" i="3"/>
  <c r="S47" i="3"/>
  <c r="D48" i="20" s="1"/>
  <c r="N50" i="3"/>
  <c r="H53" i="3"/>
  <c r="H55" i="3"/>
  <c r="S60" i="3"/>
  <c r="D61" i="20" s="1"/>
  <c r="K58" i="9" s="1"/>
  <c r="N63" i="3"/>
  <c r="H73" i="3"/>
  <c r="S75" i="3"/>
  <c r="D76" i="20" s="1"/>
  <c r="N77" i="3"/>
  <c r="H79" i="3"/>
  <c r="H83" i="3"/>
  <c r="D77" i="12"/>
  <c r="C22" i="19"/>
  <c r="D24" i="15"/>
  <c r="C24" i="19"/>
  <c r="D24" i="18"/>
  <c r="D24" i="16"/>
  <c r="H21" i="3"/>
  <c r="R48" i="3"/>
  <c r="H57" i="3"/>
  <c r="H59" i="3"/>
  <c r="H68" i="3"/>
  <c r="S70" i="3"/>
  <c r="D71" i="20" s="1"/>
  <c r="N72" i="3"/>
  <c r="H74" i="3"/>
  <c r="H78" i="3"/>
  <c r="N81" i="3"/>
  <c r="D46" i="12"/>
  <c r="D34" i="15"/>
  <c r="S32" i="3"/>
  <c r="D33" i="20" s="1"/>
  <c r="S22" i="3"/>
  <c r="D23" i="20" s="1"/>
  <c r="H23" i="3"/>
  <c r="R25" i="3"/>
  <c r="H26" i="3"/>
  <c r="H27" i="3"/>
  <c r="S28" i="3"/>
  <c r="D29" i="20" s="1"/>
  <c r="N33" i="3"/>
  <c r="R35" i="3"/>
  <c r="N37" i="3"/>
  <c r="R39" i="3"/>
  <c r="N41" i="3"/>
  <c r="R43" i="3"/>
  <c r="S46" i="3"/>
  <c r="D47" i="20" s="1"/>
  <c r="S49" i="3"/>
  <c r="D50" i="20" s="1"/>
  <c r="R50" i="3"/>
  <c r="R52" i="3"/>
  <c r="S55" i="3"/>
  <c r="D56" i="20" s="1"/>
  <c r="S61" i="3"/>
  <c r="D62" i="20" s="1"/>
  <c r="S66" i="3"/>
  <c r="D67" i="20" s="1"/>
  <c r="H69" i="3"/>
  <c r="S76" i="3"/>
  <c r="D77" i="20" s="1"/>
  <c r="N80" i="3"/>
  <c r="D42" i="15"/>
  <c r="C38" i="19"/>
  <c r="D56" i="15"/>
  <c r="D56" i="14"/>
  <c r="D56" i="13"/>
  <c r="C56" i="19"/>
  <c r="D56" i="18"/>
  <c r="E56" i="18" s="1"/>
  <c r="D56" i="16"/>
  <c r="D22" i="17"/>
  <c r="D22" i="16"/>
  <c r="D22" i="15"/>
  <c r="D22" i="14"/>
  <c r="D22" i="13"/>
  <c r="D22" i="18"/>
  <c r="H18" i="3"/>
  <c r="S21" i="3"/>
  <c r="D22" i="20" s="1"/>
  <c r="K19" i="9" s="1"/>
  <c r="N23" i="3"/>
  <c r="N30" i="3"/>
  <c r="H34" i="3"/>
  <c r="H38" i="3"/>
  <c r="H42" i="3"/>
  <c r="R47" i="3"/>
  <c r="R56" i="3"/>
  <c r="R60" i="3"/>
  <c r="H65" i="3"/>
  <c r="S67" i="3"/>
  <c r="D68" i="20" s="1"/>
  <c r="N69" i="3"/>
  <c r="H71" i="3"/>
  <c r="R72" i="3"/>
  <c r="H75" i="3"/>
  <c r="N79" i="3"/>
  <c r="H84" i="3"/>
  <c r="D24" i="12"/>
  <c r="D56" i="12"/>
  <c r="C46" i="19"/>
  <c r="I6" i="18"/>
  <c r="H9" i="9"/>
  <c r="I6" i="16"/>
  <c r="F10" i="9"/>
  <c r="L13" i="4"/>
  <c r="H15" i="4"/>
  <c r="D18" i="4"/>
  <c r="E18" i="4" s="1"/>
  <c r="F20" i="4"/>
  <c r="G22" i="4"/>
  <c r="H25" i="4"/>
  <c r="F29" i="4"/>
  <c r="D33" i="4"/>
  <c r="E33" i="4" s="1"/>
  <c r="H45" i="4"/>
  <c r="I10" i="14"/>
  <c r="I10" i="18"/>
  <c r="D47" i="19"/>
  <c r="D79" i="19"/>
  <c r="F9" i="9"/>
  <c r="F12" i="4"/>
  <c r="D51" i="19"/>
  <c r="K12" i="4"/>
  <c r="L18" i="4"/>
  <c r="K25" i="4"/>
  <c r="L27" i="4"/>
  <c r="F46" i="4"/>
  <c r="I12" i="17"/>
  <c r="D23" i="19"/>
  <c r="D55" i="19"/>
  <c r="D10" i="9"/>
  <c r="F23" i="4"/>
  <c r="B12" i="5"/>
  <c r="B19" i="17"/>
  <c r="B19" i="20"/>
  <c r="B19" i="18"/>
  <c r="A19" i="19"/>
  <c r="B19" i="16"/>
  <c r="B19" i="15"/>
  <c r="B19" i="12"/>
  <c r="B19" i="14"/>
  <c r="B19" i="13"/>
  <c r="D27" i="19"/>
  <c r="D59" i="19"/>
  <c r="C25" i="20"/>
  <c r="E25" i="20" s="1"/>
  <c r="C33" i="20"/>
  <c r="C41" i="20"/>
  <c r="E41" i="20" s="1"/>
  <c r="C49" i="20"/>
  <c r="C57" i="20"/>
  <c r="E57" i="20" s="1"/>
  <c r="C65" i="20"/>
  <c r="E65" i="20" s="1"/>
  <c r="C73" i="20"/>
  <c r="C81" i="20"/>
  <c r="H14" i="4"/>
  <c r="H17" i="4"/>
  <c r="H23" i="4"/>
  <c r="F28" i="4"/>
  <c r="H31" i="4"/>
  <c r="D31" i="19"/>
  <c r="D63" i="19"/>
  <c r="D8" i="9"/>
  <c r="H10" i="9"/>
  <c r="K38" i="9" s="1"/>
  <c r="D19" i="19"/>
  <c r="J17" i="4"/>
  <c r="D19" i="4"/>
  <c r="E19" i="4" s="1"/>
  <c r="F21" i="4"/>
  <c r="F20" i="5" s="1"/>
  <c r="K26" i="4"/>
  <c r="K35" i="4"/>
  <c r="L44" i="4"/>
  <c r="D35" i="19"/>
  <c r="D67" i="19"/>
  <c r="F8" i="9"/>
  <c r="K17" i="4"/>
  <c r="D39" i="19"/>
  <c r="D71" i="19"/>
  <c r="H8" i="9"/>
  <c r="F52" i="5"/>
  <c r="C52" i="5"/>
  <c r="J52" i="5"/>
  <c r="D83" i="19"/>
  <c r="F13" i="4"/>
  <c r="F15" i="4"/>
  <c r="D29" i="4"/>
  <c r="E29" i="4" s="1"/>
  <c r="J49" i="4"/>
  <c r="D43" i="19"/>
  <c r="D9" i="9"/>
  <c r="C24" i="20"/>
  <c r="C32" i="20"/>
  <c r="C40" i="20"/>
  <c r="C48" i="20"/>
  <c r="E48" i="20" s="1"/>
  <c r="C56" i="20"/>
  <c r="C64" i="20"/>
  <c r="C72" i="20"/>
  <c r="C80" i="20"/>
  <c r="K77" i="9"/>
  <c r="C26" i="20"/>
  <c r="E26" i="20" s="1"/>
  <c r="C34" i="20"/>
  <c r="E34" i="20" s="1"/>
  <c r="C42" i="20"/>
  <c r="E42" i="20" s="1"/>
  <c r="K39" i="9"/>
  <c r="C50" i="20"/>
  <c r="C58" i="20"/>
  <c r="C66" i="20"/>
  <c r="C74" i="20"/>
  <c r="C82" i="20"/>
  <c r="C19" i="20"/>
  <c r="C27" i="20"/>
  <c r="C35" i="20"/>
  <c r="C43" i="20"/>
  <c r="C51" i="20"/>
  <c r="E51" i="20" s="1"/>
  <c r="C59" i="20"/>
  <c r="C67" i="20"/>
  <c r="C75" i="20"/>
  <c r="C83" i="20"/>
  <c r="C20" i="20"/>
  <c r="C28" i="20"/>
  <c r="C36" i="20"/>
  <c r="E36" i="20" s="1"/>
  <c r="C44" i="20"/>
  <c r="C52" i="20"/>
  <c r="E52" i="20" s="1"/>
  <c r="C60" i="20"/>
  <c r="C68" i="20"/>
  <c r="C76" i="20"/>
  <c r="C84" i="20"/>
  <c r="C21" i="20"/>
  <c r="C29" i="20"/>
  <c r="C37" i="20"/>
  <c r="E37" i="20" s="1"/>
  <c r="K34" i="9"/>
  <c r="C45" i="20"/>
  <c r="C53" i="20"/>
  <c r="E53" i="20" s="1"/>
  <c r="C61" i="20"/>
  <c r="C69" i="20"/>
  <c r="C77" i="20"/>
  <c r="C85" i="20"/>
  <c r="E85" i="20" s="1"/>
  <c r="K82" i="9"/>
  <c r="C22" i="20"/>
  <c r="C30" i="20"/>
  <c r="E30" i="20" s="1"/>
  <c r="C38" i="20"/>
  <c r="E38" i="20" s="1"/>
  <c r="C46" i="20"/>
  <c r="C54" i="20"/>
  <c r="E54" i="20" s="1"/>
  <c r="C62" i="20"/>
  <c r="E62" i="20" s="1"/>
  <c r="C70" i="20"/>
  <c r="E70" i="20" s="1"/>
  <c r="C78" i="20"/>
  <c r="C23" i="20"/>
  <c r="E23" i="20" s="1"/>
  <c r="C31" i="20"/>
  <c r="E31" i="20" s="1"/>
  <c r="C39" i="20"/>
  <c r="C47" i="20"/>
  <c r="C55" i="20"/>
  <c r="C63" i="20"/>
  <c r="E63" i="20" s="1"/>
  <c r="C71" i="20"/>
  <c r="C79" i="20"/>
  <c r="E60" i="20"/>
  <c r="E32" i="20"/>
  <c r="E80" i="20"/>
  <c r="D20" i="19"/>
  <c r="D24" i="19"/>
  <c r="D28" i="19"/>
  <c r="D32" i="19"/>
  <c r="D36" i="19"/>
  <c r="D40" i="19"/>
  <c r="D44" i="19"/>
  <c r="D48" i="19"/>
  <c r="D52" i="19"/>
  <c r="D56" i="19"/>
  <c r="D60" i="19"/>
  <c r="D64" i="19"/>
  <c r="D68" i="19"/>
  <c r="D72" i="19"/>
  <c r="D76" i="19"/>
  <c r="D80" i="19"/>
  <c r="D84" i="19"/>
  <c r="D21" i="19"/>
  <c r="D25" i="19"/>
  <c r="D29" i="19"/>
  <c r="D33" i="19"/>
  <c r="D37" i="19"/>
  <c r="D41" i="19"/>
  <c r="D45" i="19"/>
  <c r="D49" i="19"/>
  <c r="D53" i="19"/>
  <c r="D57" i="19"/>
  <c r="D61" i="19"/>
  <c r="D65" i="19"/>
  <c r="D69" i="19"/>
  <c r="D73" i="19"/>
  <c r="D77" i="19"/>
  <c r="D81" i="19"/>
  <c r="D85" i="19"/>
  <c r="D22" i="19"/>
  <c r="D26" i="19"/>
  <c r="D30" i="19"/>
  <c r="D34" i="19"/>
  <c r="D38" i="19"/>
  <c r="D42" i="19"/>
  <c r="D46" i="19"/>
  <c r="D50" i="19"/>
  <c r="D54" i="19"/>
  <c r="D58" i="19"/>
  <c r="D62" i="19"/>
  <c r="D66" i="19"/>
  <c r="D70" i="19"/>
  <c r="D74" i="19"/>
  <c r="D78" i="19"/>
  <c r="D82" i="19"/>
  <c r="I9" i="18"/>
  <c r="E77" i="18"/>
  <c r="I9" i="17"/>
  <c r="I9" i="16"/>
  <c r="I10" i="16"/>
  <c r="I9" i="15"/>
  <c r="I10" i="15"/>
  <c r="I9" i="14"/>
  <c r="I9" i="13"/>
  <c r="I10" i="13"/>
  <c r="I9" i="12"/>
  <c r="I10" i="12"/>
  <c r="Z30" i="11"/>
  <c r="AF29" i="11"/>
  <c r="AE30" i="11"/>
  <c r="W30" i="11"/>
  <c r="AH10" i="11"/>
  <c r="AH13" i="11"/>
  <c r="AH17" i="11"/>
  <c r="AH21" i="11"/>
  <c r="AH25" i="11"/>
  <c r="AH14" i="11"/>
  <c r="AH18" i="11"/>
  <c r="AH22" i="11"/>
  <c r="AH26" i="11"/>
  <c r="AH8" i="11"/>
  <c r="AH32" i="11" s="1"/>
  <c r="AH11" i="11"/>
  <c r="AH15" i="11"/>
  <c r="AH19" i="11"/>
  <c r="AH23" i="11"/>
  <c r="AH9" i="11"/>
  <c r="AH12" i="11"/>
  <c r="AH16" i="11"/>
  <c r="AH20" i="11"/>
  <c r="I58" i="4"/>
  <c r="I51" i="4"/>
  <c r="I43" i="4"/>
  <c r="I35" i="4"/>
  <c r="I45" i="4"/>
  <c r="I37" i="4"/>
  <c r="I47" i="4"/>
  <c r="I39" i="4"/>
  <c r="I31" i="4"/>
  <c r="I36" i="4"/>
  <c r="H75" i="4"/>
  <c r="H71" i="4"/>
  <c r="H67" i="4"/>
  <c r="H63" i="4"/>
  <c r="H78" i="4"/>
  <c r="H74" i="4"/>
  <c r="H70" i="4"/>
  <c r="H66" i="4"/>
  <c r="H60" i="4"/>
  <c r="H58" i="4"/>
  <c r="H55" i="4"/>
  <c r="H50" i="4"/>
  <c r="H42" i="4"/>
  <c r="H34" i="4"/>
  <c r="H77" i="4"/>
  <c r="H73" i="4"/>
  <c r="H69" i="4"/>
  <c r="H65" i="4"/>
  <c r="H62" i="4"/>
  <c r="H59" i="4"/>
  <c r="H56" i="4"/>
  <c r="H52" i="4"/>
  <c r="H44" i="4"/>
  <c r="H36" i="4"/>
  <c r="H61" i="4"/>
  <c r="H57" i="4"/>
  <c r="H53" i="4"/>
  <c r="H46" i="4"/>
  <c r="H38" i="4"/>
  <c r="H30" i="4"/>
  <c r="D12" i="4"/>
  <c r="E12" i="4" s="1"/>
  <c r="L12" i="4"/>
  <c r="F14" i="4"/>
  <c r="G15" i="4"/>
  <c r="H16" i="4"/>
  <c r="I17" i="4"/>
  <c r="J18" i="4"/>
  <c r="K19" i="4"/>
  <c r="D20" i="4"/>
  <c r="E20" i="4" s="1"/>
  <c r="L20" i="4"/>
  <c r="F22" i="4"/>
  <c r="G23" i="4"/>
  <c r="H24" i="4"/>
  <c r="I25" i="4"/>
  <c r="J26" i="4"/>
  <c r="K27" i="4"/>
  <c r="D28" i="4"/>
  <c r="E28" i="4" s="1"/>
  <c r="L28" i="4"/>
  <c r="K30" i="4"/>
  <c r="G31" i="4"/>
  <c r="J35" i="4"/>
  <c r="G36" i="4"/>
  <c r="D37" i="4"/>
  <c r="E37" i="4" s="1"/>
  <c r="H40" i="4"/>
  <c r="F41" i="4"/>
  <c r="L43" i="4"/>
  <c r="K44" i="4"/>
  <c r="F45" i="4"/>
  <c r="K48" i="4"/>
  <c r="I49" i="4"/>
  <c r="G50" i="4"/>
  <c r="K53" i="4"/>
  <c r="G52" i="5" s="1"/>
  <c r="H54" i="4"/>
  <c r="G55" i="4"/>
  <c r="I24" i="4"/>
  <c r="J63" i="4"/>
  <c r="J58" i="4"/>
  <c r="J60" i="4"/>
  <c r="J62" i="4"/>
  <c r="J56" i="4"/>
  <c r="J52" i="4"/>
  <c r="J44" i="4"/>
  <c r="J36" i="4"/>
  <c r="J59" i="4"/>
  <c r="J57" i="4"/>
  <c r="J53" i="4"/>
  <c r="J46" i="4"/>
  <c r="J38" i="4"/>
  <c r="J30" i="4"/>
  <c r="J54" i="4"/>
  <c r="J48" i="4"/>
  <c r="J40" i="4"/>
  <c r="J32" i="4"/>
  <c r="G13" i="4"/>
  <c r="I15" i="4"/>
  <c r="J16" i="4"/>
  <c r="G21" i="4"/>
  <c r="I23" i="4"/>
  <c r="J24" i="4"/>
  <c r="G29" i="4"/>
  <c r="J31" i="4"/>
  <c r="H32" i="4"/>
  <c r="F33" i="4"/>
  <c r="L35" i="4"/>
  <c r="K36" i="4"/>
  <c r="F37" i="4"/>
  <c r="K40" i="4"/>
  <c r="I41" i="4"/>
  <c r="G42" i="4"/>
  <c r="J45" i="4"/>
  <c r="G46" i="4"/>
  <c r="D47" i="4"/>
  <c r="E47" i="4" s="1"/>
  <c r="L49" i="4"/>
  <c r="J50" i="4"/>
  <c r="F51" i="4"/>
  <c r="J50" i="5" s="1"/>
  <c r="D52" i="4"/>
  <c r="E52" i="4" s="1"/>
  <c r="J55" i="4"/>
  <c r="G56" i="4"/>
  <c r="L58" i="4"/>
  <c r="K45" i="4"/>
  <c r="K37" i="4"/>
  <c r="K29" i="4"/>
  <c r="K47" i="4"/>
  <c r="K39" i="4"/>
  <c r="K31" i="4"/>
  <c r="K58" i="4"/>
  <c r="K49" i="4"/>
  <c r="K41" i="4"/>
  <c r="K33" i="4"/>
  <c r="G12" i="4"/>
  <c r="H13" i="4"/>
  <c r="I14" i="4"/>
  <c r="J15" i="4"/>
  <c r="K16" i="4"/>
  <c r="D17" i="4"/>
  <c r="E17" i="4" s="1"/>
  <c r="L17" i="4"/>
  <c r="F19" i="4"/>
  <c r="G20" i="4"/>
  <c r="H21" i="4"/>
  <c r="I22" i="4"/>
  <c r="J23" i="4"/>
  <c r="K24" i="4"/>
  <c r="D25" i="4"/>
  <c r="E25" i="4" s="1"/>
  <c r="L25" i="4"/>
  <c r="F27" i="4"/>
  <c r="D26" i="5" s="1"/>
  <c r="G28" i="4"/>
  <c r="H29" i="4"/>
  <c r="L31" i="4"/>
  <c r="I32" i="4"/>
  <c r="H33" i="4"/>
  <c r="L36" i="4"/>
  <c r="H37" i="4"/>
  <c r="F38" i="4"/>
  <c r="J41" i="4"/>
  <c r="I42" i="4"/>
  <c r="D43" i="4"/>
  <c r="E43" i="4" s="1"/>
  <c r="I46" i="4"/>
  <c r="F47" i="4"/>
  <c r="K50" i="4"/>
  <c r="H51" i="4"/>
  <c r="K55" i="4"/>
  <c r="I56" i="4"/>
  <c r="F57" i="4"/>
  <c r="I50" i="4"/>
  <c r="I54" i="4"/>
  <c r="L60" i="4"/>
  <c r="L78" i="4"/>
  <c r="L74" i="4"/>
  <c r="L70" i="4"/>
  <c r="L66" i="4"/>
  <c r="L62" i="4"/>
  <c r="L77" i="4"/>
  <c r="L73" i="4"/>
  <c r="L69" i="4"/>
  <c r="L65" i="4"/>
  <c r="L59" i="4"/>
  <c r="L57" i="4"/>
  <c r="L53" i="4"/>
  <c r="H52" i="5" s="1"/>
  <c r="L46" i="4"/>
  <c r="L38" i="4"/>
  <c r="L30" i="4"/>
  <c r="L76" i="4"/>
  <c r="L72" i="4"/>
  <c r="L68" i="4"/>
  <c r="L64" i="4"/>
  <c r="L61" i="4"/>
  <c r="L54" i="4"/>
  <c r="L48" i="4"/>
  <c r="L40" i="4"/>
  <c r="L32" i="4"/>
  <c r="L75" i="4"/>
  <c r="L71" i="4"/>
  <c r="L67" i="4"/>
  <c r="L63" i="4"/>
  <c r="L55" i="4"/>
  <c r="L50" i="4"/>
  <c r="L42" i="4"/>
  <c r="L34" i="4"/>
  <c r="H12" i="4"/>
  <c r="I13" i="4"/>
  <c r="J14" i="4"/>
  <c r="K15" i="4"/>
  <c r="D16" i="4"/>
  <c r="E16" i="4" s="1"/>
  <c r="L16" i="4"/>
  <c r="F18" i="4"/>
  <c r="G19" i="4"/>
  <c r="H20" i="4"/>
  <c r="I21" i="4"/>
  <c r="J22" i="4"/>
  <c r="K23" i="4"/>
  <c r="D24" i="4"/>
  <c r="E24" i="4" s="1"/>
  <c r="L24" i="4"/>
  <c r="F26" i="4"/>
  <c r="J25" i="5" s="1"/>
  <c r="G27" i="4"/>
  <c r="H28" i="4"/>
  <c r="I29" i="4"/>
  <c r="K32" i="4"/>
  <c r="I33" i="4"/>
  <c r="G34" i="4"/>
  <c r="J37" i="4"/>
  <c r="G38" i="4"/>
  <c r="D39" i="4"/>
  <c r="E39" i="4" s="1"/>
  <c r="L41" i="4"/>
  <c r="J42" i="4"/>
  <c r="F43" i="4"/>
  <c r="K46" i="4"/>
  <c r="G47" i="4"/>
  <c r="J51" i="4"/>
  <c r="G52" i="4"/>
  <c r="K56" i="4"/>
  <c r="G57" i="4"/>
  <c r="H76" i="4"/>
  <c r="I55" i="4"/>
  <c r="D46" i="4"/>
  <c r="E46" i="4" s="1"/>
  <c r="D38" i="4"/>
  <c r="E38" i="4" s="1"/>
  <c r="D30" i="4"/>
  <c r="E30" i="4" s="1"/>
  <c r="D48" i="4"/>
  <c r="E48" i="4" s="1"/>
  <c r="D40" i="4"/>
  <c r="E40" i="4" s="1"/>
  <c r="D32" i="4"/>
  <c r="E32" i="4" s="1"/>
  <c r="D50" i="4"/>
  <c r="E50" i="4" s="1"/>
  <c r="D42" i="4"/>
  <c r="E42" i="4" s="1"/>
  <c r="D34" i="4"/>
  <c r="E34" i="4" s="1"/>
  <c r="M8" i="4"/>
  <c r="N8" i="4" s="1"/>
  <c r="I12" i="4"/>
  <c r="J13" i="4"/>
  <c r="K14" i="4"/>
  <c r="D15" i="4"/>
  <c r="E15" i="4" s="1"/>
  <c r="L15" i="4"/>
  <c r="F17" i="4"/>
  <c r="G18" i="4"/>
  <c r="H19" i="4"/>
  <c r="I20" i="4"/>
  <c r="J21" i="4"/>
  <c r="K22" i="4"/>
  <c r="D23" i="4"/>
  <c r="E23" i="4" s="1"/>
  <c r="L23" i="4"/>
  <c r="F25" i="4"/>
  <c r="G26" i="4"/>
  <c r="H27" i="4"/>
  <c r="I28" i="4"/>
  <c r="J29" i="4"/>
  <c r="F30" i="4"/>
  <c r="J33" i="4"/>
  <c r="I34" i="4"/>
  <c r="D35" i="4"/>
  <c r="E35" i="4" s="1"/>
  <c r="L37" i="4"/>
  <c r="I38" i="4"/>
  <c r="F39" i="4"/>
  <c r="K42" i="4"/>
  <c r="H43" i="4"/>
  <c r="H47" i="4"/>
  <c r="G48" i="4"/>
  <c r="D49" i="4"/>
  <c r="E49" i="4" s="1"/>
  <c r="K51" i="4"/>
  <c r="I52" i="4"/>
  <c r="L56" i="4"/>
  <c r="I57" i="4"/>
  <c r="J61" i="4"/>
  <c r="H72" i="4"/>
  <c r="F61" i="4"/>
  <c r="F75" i="4"/>
  <c r="F71" i="4"/>
  <c r="F67" i="4"/>
  <c r="F63" i="4"/>
  <c r="F78" i="4"/>
  <c r="F74" i="4"/>
  <c r="F70" i="4"/>
  <c r="F66" i="4"/>
  <c r="F60" i="4"/>
  <c r="F58" i="4"/>
  <c r="F54" i="4"/>
  <c r="F48" i="4"/>
  <c r="F40" i="4"/>
  <c r="F32" i="4"/>
  <c r="F77" i="4"/>
  <c r="F73" i="4"/>
  <c r="F69" i="4"/>
  <c r="F65" i="4"/>
  <c r="F62" i="4"/>
  <c r="F55" i="4"/>
  <c r="F50" i="4"/>
  <c r="F42" i="4"/>
  <c r="F34" i="4"/>
  <c r="F76" i="4"/>
  <c r="F72" i="4"/>
  <c r="F68" i="4"/>
  <c r="F64" i="4"/>
  <c r="F56" i="4"/>
  <c r="F52" i="4"/>
  <c r="F44" i="4"/>
  <c r="C43" i="5" s="1"/>
  <c r="F36" i="4"/>
  <c r="J12" i="4"/>
  <c r="K13" i="4"/>
  <c r="D14" i="4"/>
  <c r="E14" i="4" s="1"/>
  <c r="L14" i="4"/>
  <c r="F16" i="4"/>
  <c r="G17" i="4"/>
  <c r="H18" i="4"/>
  <c r="I19" i="4"/>
  <c r="J20" i="4"/>
  <c r="K21" i="4"/>
  <c r="D22" i="4"/>
  <c r="E22" i="4" s="1"/>
  <c r="L22" i="4"/>
  <c r="F24" i="4"/>
  <c r="G25" i="4"/>
  <c r="H26" i="4"/>
  <c r="I27" i="4"/>
  <c r="J28" i="4"/>
  <c r="L29" i="4"/>
  <c r="G30" i="4"/>
  <c r="D31" i="4"/>
  <c r="E31" i="4" s="1"/>
  <c r="L33" i="4"/>
  <c r="J34" i="4"/>
  <c r="F35" i="4"/>
  <c r="D36" i="4"/>
  <c r="E36" i="4" s="1"/>
  <c r="K38" i="4"/>
  <c r="G39" i="4"/>
  <c r="J43" i="4"/>
  <c r="G44" i="4"/>
  <c r="D45" i="4"/>
  <c r="E45" i="4" s="1"/>
  <c r="J47" i="4"/>
  <c r="H48" i="4"/>
  <c r="F49" i="4"/>
  <c r="L51" i="4"/>
  <c r="K52" i="4"/>
  <c r="K57" i="4"/>
  <c r="F59" i="4"/>
  <c r="H68" i="4"/>
  <c r="I16" i="4"/>
  <c r="I40" i="4"/>
  <c r="G49" i="4"/>
  <c r="G41" i="4"/>
  <c r="G33" i="4"/>
  <c r="G51" i="4"/>
  <c r="G43" i="4"/>
  <c r="G35" i="4"/>
  <c r="G45" i="4"/>
  <c r="G37" i="4"/>
  <c r="G16" i="4"/>
  <c r="I18" i="4"/>
  <c r="J19" i="4"/>
  <c r="G24" i="4"/>
  <c r="I26" i="4"/>
  <c r="J27" i="4"/>
  <c r="K28" i="4"/>
  <c r="I30" i="4"/>
  <c r="F31" i="4"/>
  <c r="K34" i="4"/>
  <c r="H35" i="4"/>
  <c r="H39" i="4"/>
  <c r="G40" i="4"/>
  <c r="D41" i="4"/>
  <c r="E41" i="4" s="1"/>
  <c r="K43" i="4"/>
  <c r="I44" i="4"/>
  <c r="L47" i="4"/>
  <c r="I48" i="4"/>
  <c r="H49" i="4"/>
  <c r="L52" i="4"/>
  <c r="I53" i="4"/>
  <c r="E52" i="5" s="1"/>
  <c r="G54" i="4"/>
  <c r="H64" i="4"/>
  <c r="S18" i="3"/>
  <c r="D19" i="20" s="1"/>
  <c r="K16" i="9" s="1"/>
  <c r="S26" i="3"/>
  <c r="D27" i="20" s="1"/>
  <c r="K24" i="9" s="1"/>
  <c r="S65" i="3"/>
  <c r="D66" i="20" s="1"/>
  <c r="K63" i="9" s="1"/>
  <c r="S73" i="3"/>
  <c r="D74" i="20" s="1"/>
  <c r="K71" i="9" s="1"/>
  <c r="S81" i="3"/>
  <c r="D82" i="20" s="1"/>
  <c r="K79" i="9" s="1"/>
  <c r="R28" i="3"/>
  <c r="N35" i="3"/>
  <c r="N39" i="3"/>
  <c r="N43" i="3"/>
  <c r="N47" i="3"/>
  <c r="N51" i="3"/>
  <c r="N55" i="3"/>
  <c r="R62" i="3"/>
  <c r="R70" i="3"/>
  <c r="R78" i="3"/>
  <c r="N19" i="3"/>
  <c r="R22" i="3"/>
  <c r="N27" i="3"/>
  <c r="R30" i="3"/>
  <c r="N60" i="3"/>
  <c r="R61" i="3"/>
  <c r="N68" i="3"/>
  <c r="R69" i="3"/>
  <c r="N76" i="3"/>
  <c r="R77" i="3"/>
  <c r="N84" i="3"/>
  <c r="R19" i="3"/>
  <c r="N24" i="3"/>
  <c r="R27" i="3"/>
  <c r="N32" i="3"/>
  <c r="N36" i="3"/>
  <c r="N40" i="3"/>
  <c r="N44" i="3"/>
  <c r="N48" i="3"/>
  <c r="N52" i="3"/>
  <c r="N56" i="3"/>
  <c r="N59" i="3"/>
  <c r="N67" i="3"/>
  <c r="R68" i="3"/>
  <c r="N75" i="3"/>
  <c r="N83" i="3"/>
  <c r="R84" i="3"/>
  <c r="N21" i="3"/>
  <c r="R24" i="3"/>
  <c r="N29" i="3"/>
  <c r="R32" i="3"/>
  <c r="N58" i="3"/>
  <c r="R59" i="3"/>
  <c r="N66" i="3"/>
  <c r="R67" i="3"/>
  <c r="N74" i="3"/>
  <c r="R75" i="3"/>
  <c r="N82" i="3"/>
  <c r="R83" i="3"/>
  <c r="R58" i="3"/>
  <c r="R66" i="3"/>
  <c r="R74" i="3"/>
  <c r="R82" i="3"/>
  <c r="R49" i="3"/>
  <c r="R53" i="3"/>
  <c r="R57" i="3"/>
  <c r="R65" i="3"/>
  <c r="R73" i="3"/>
  <c r="R81" i="3"/>
  <c r="M34" i="2"/>
  <c r="H8" i="19" s="1"/>
  <c r="M35" i="2"/>
  <c r="I8" i="20" s="1"/>
  <c r="G102" i="19" l="1"/>
  <c r="B89" i="13"/>
  <c r="B89" i="14"/>
  <c r="B89" i="15"/>
  <c r="B89" i="16"/>
  <c r="B89" i="17"/>
  <c r="B89" i="18"/>
  <c r="B89" i="20"/>
  <c r="B89" i="12"/>
  <c r="B82" i="5"/>
  <c r="F95" i="19"/>
  <c r="G104" i="19"/>
  <c r="F87" i="15"/>
  <c r="F103" i="12"/>
  <c r="G103" i="12"/>
  <c r="G101" i="16"/>
  <c r="F101" i="16"/>
  <c r="F96" i="16"/>
  <c r="G96" i="16"/>
  <c r="G109" i="17"/>
  <c r="G103" i="15"/>
  <c r="F103" i="15"/>
  <c r="G86" i="12"/>
  <c r="F86" i="12"/>
  <c r="G102" i="15"/>
  <c r="F102" i="15"/>
  <c r="G96" i="17"/>
  <c r="F96" i="17"/>
  <c r="G108" i="19"/>
  <c r="F108" i="19"/>
  <c r="G104" i="15"/>
  <c r="F104" i="15"/>
  <c r="G94" i="18"/>
  <c r="F94" i="18"/>
  <c r="F101" i="15"/>
  <c r="G101" i="15"/>
  <c r="F109" i="18"/>
  <c r="G109" i="18"/>
  <c r="G87" i="19"/>
  <c r="F87" i="19"/>
  <c r="G86" i="18"/>
  <c r="F86" i="18"/>
  <c r="G95" i="17"/>
  <c r="F95" i="12"/>
  <c r="G95" i="12"/>
  <c r="G102" i="13"/>
  <c r="F102" i="13"/>
  <c r="G96" i="15"/>
  <c r="F96" i="15"/>
  <c r="G104" i="13"/>
  <c r="F104" i="13"/>
  <c r="F94" i="12"/>
  <c r="G94" i="12"/>
  <c r="G93" i="13"/>
  <c r="F93" i="13"/>
  <c r="F101" i="13"/>
  <c r="G101" i="13"/>
  <c r="G87" i="16"/>
  <c r="F87" i="16"/>
  <c r="G95" i="18"/>
  <c r="F95" i="18"/>
  <c r="G102" i="14"/>
  <c r="F102" i="14"/>
  <c r="G94" i="19"/>
  <c r="F94" i="19"/>
  <c r="F103" i="18"/>
  <c r="G103" i="18"/>
  <c r="G86" i="16"/>
  <c r="F86" i="16"/>
  <c r="G102" i="18"/>
  <c r="F102" i="18"/>
  <c r="G96" i="14"/>
  <c r="F96" i="14"/>
  <c r="G94" i="17"/>
  <c r="F94" i="17"/>
  <c r="F93" i="19"/>
  <c r="G93" i="19"/>
  <c r="F101" i="19"/>
  <c r="G101" i="19"/>
  <c r="G109" i="15"/>
  <c r="F109" i="15"/>
  <c r="G103" i="14"/>
  <c r="F103" i="14"/>
  <c r="G93" i="14"/>
  <c r="F93" i="14"/>
  <c r="G101" i="14"/>
  <c r="F101" i="14"/>
  <c r="F87" i="12"/>
  <c r="G87" i="12"/>
  <c r="G95" i="15"/>
  <c r="F95" i="15"/>
  <c r="G103" i="19"/>
  <c r="F103" i="19"/>
  <c r="G86" i="15"/>
  <c r="F86" i="15"/>
  <c r="G96" i="13"/>
  <c r="F96" i="13"/>
  <c r="F104" i="18"/>
  <c r="G104" i="18"/>
  <c r="G94" i="16"/>
  <c r="F94" i="16"/>
  <c r="F93" i="12"/>
  <c r="G93" i="12"/>
  <c r="G101" i="12"/>
  <c r="F101" i="12"/>
  <c r="G109" i="14"/>
  <c r="F109" i="14"/>
  <c r="G87" i="13"/>
  <c r="F87" i="13"/>
  <c r="G104" i="14"/>
  <c r="F104" i="14"/>
  <c r="G86" i="14"/>
  <c r="F86" i="14"/>
  <c r="G102" i="12"/>
  <c r="F102" i="12"/>
  <c r="F96" i="18"/>
  <c r="G96" i="18"/>
  <c r="G104" i="12"/>
  <c r="F104" i="12"/>
  <c r="G94" i="15"/>
  <c r="F94" i="15"/>
  <c r="F93" i="18"/>
  <c r="G93" i="18"/>
  <c r="F101" i="18"/>
  <c r="G101" i="18"/>
  <c r="G109" i="13"/>
  <c r="F109" i="13"/>
  <c r="G87" i="17"/>
  <c r="F87" i="17"/>
  <c r="F103" i="17"/>
  <c r="G103" i="17"/>
  <c r="F86" i="13"/>
  <c r="G86" i="13"/>
  <c r="G102" i="17"/>
  <c r="F102" i="17"/>
  <c r="F104" i="17"/>
  <c r="G104" i="17"/>
  <c r="F94" i="14"/>
  <c r="G94" i="14"/>
  <c r="F93" i="17"/>
  <c r="G93" i="17"/>
  <c r="F109" i="19"/>
  <c r="G109" i="19"/>
  <c r="G87" i="14"/>
  <c r="F87" i="14"/>
  <c r="G103" i="16"/>
  <c r="F103" i="16"/>
  <c r="F86" i="19"/>
  <c r="G86" i="19"/>
  <c r="G102" i="16"/>
  <c r="F102" i="16"/>
  <c r="G96" i="12"/>
  <c r="F96" i="12"/>
  <c r="G104" i="16"/>
  <c r="F104" i="16"/>
  <c r="F94" i="13"/>
  <c r="G94" i="13"/>
  <c r="G93" i="16"/>
  <c r="F93" i="16"/>
  <c r="G109" i="12"/>
  <c r="F109" i="12"/>
  <c r="G87" i="18"/>
  <c r="F87" i="18"/>
  <c r="E56" i="20"/>
  <c r="E24" i="18"/>
  <c r="E28" i="20"/>
  <c r="E59" i="20"/>
  <c r="E55" i="20"/>
  <c r="E78" i="20"/>
  <c r="E43" i="20"/>
  <c r="E81" i="20"/>
  <c r="E39" i="20"/>
  <c r="K76" i="9"/>
  <c r="K35" i="9"/>
  <c r="K17" i="9"/>
  <c r="K37" i="9"/>
  <c r="K28" i="9"/>
  <c r="K67" i="9"/>
  <c r="K49" i="9"/>
  <c r="K48" i="9"/>
  <c r="K31" i="9"/>
  <c r="K69" i="9"/>
  <c r="K68" i="9"/>
  <c r="K18" i="9"/>
  <c r="K21" i="9"/>
  <c r="K60" i="9"/>
  <c r="K27" i="9"/>
  <c r="K29" i="9"/>
  <c r="K47" i="9"/>
  <c r="K26" i="9"/>
  <c r="K45" i="9"/>
  <c r="K42" i="9"/>
  <c r="K23" i="9"/>
  <c r="K41" i="9"/>
  <c r="K20" i="9"/>
  <c r="K59" i="9"/>
  <c r="K50" i="9"/>
  <c r="K40" i="9"/>
  <c r="K61" i="9"/>
  <c r="K74" i="9"/>
  <c r="K44" i="9"/>
  <c r="K43" i="9"/>
  <c r="K72" i="9"/>
  <c r="K52" i="9"/>
  <c r="K73" i="9"/>
  <c r="K33" i="9"/>
  <c r="K65" i="9"/>
  <c r="K66" i="9"/>
  <c r="K81" i="9"/>
  <c r="K32" i="9"/>
  <c r="K51" i="9"/>
  <c r="K53" i="9"/>
  <c r="K64" i="9"/>
  <c r="C50" i="5"/>
  <c r="E72" i="20"/>
  <c r="C25" i="5"/>
  <c r="E76" i="20"/>
  <c r="E64" i="20"/>
  <c r="G20" i="5"/>
  <c r="C28" i="16" s="1"/>
  <c r="G12" i="5"/>
  <c r="C20" i="16" s="1"/>
  <c r="E20" i="16" s="1"/>
  <c r="D39" i="17"/>
  <c r="D39" i="14"/>
  <c r="E69" i="20"/>
  <c r="E35" i="20"/>
  <c r="D39" i="15"/>
  <c r="E84" i="20"/>
  <c r="D39" i="16"/>
  <c r="D39" i="18"/>
  <c r="E75" i="20"/>
  <c r="D80" i="16"/>
  <c r="D80" i="18"/>
  <c r="E80" i="18" s="1"/>
  <c r="E22" i="20"/>
  <c r="E67" i="20"/>
  <c r="C80" i="19"/>
  <c r="L70" i="9"/>
  <c r="D80" i="12"/>
  <c r="E46" i="20"/>
  <c r="D21" i="15"/>
  <c r="D80" i="13"/>
  <c r="E45" i="20"/>
  <c r="E73" i="20"/>
  <c r="D80" i="14"/>
  <c r="D80" i="15"/>
  <c r="D21" i="14"/>
  <c r="C47" i="19"/>
  <c r="D35" i="15"/>
  <c r="C55" i="19"/>
  <c r="D72" i="13"/>
  <c r="D43" i="15"/>
  <c r="E68" i="20"/>
  <c r="E66" i="20"/>
  <c r="D38" i="12"/>
  <c r="D24" i="13"/>
  <c r="C42" i="19"/>
  <c r="D19" i="13"/>
  <c r="D19" i="14"/>
  <c r="D21" i="16"/>
  <c r="D47" i="14"/>
  <c r="D35" i="17"/>
  <c r="D55" i="14"/>
  <c r="D64" i="16"/>
  <c r="D43" i="17"/>
  <c r="D24" i="14"/>
  <c r="D42" i="13"/>
  <c r="D19" i="15"/>
  <c r="D21" i="17"/>
  <c r="D47" i="15"/>
  <c r="D35" i="18"/>
  <c r="E35" i="18" s="1"/>
  <c r="D55" i="15"/>
  <c r="D64" i="18"/>
  <c r="E64" i="18" s="1"/>
  <c r="F64" i="18" s="1"/>
  <c r="D43" i="18"/>
  <c r="D19" i="16"/>
  <c r="D21" i="18"/>
  <c r="E21" i="18" s="1"/>
  <c r="C64" i="19"/>
  <c r="E44" i="20"/>
  <c r="E47" i="20"/>
  <c r="E77" i="20"/>
  <c r="D34" i="17"/>
  <c r="D38" i="13"/>
  <c r="D19" i="17"/>
  <c r="D21" i="12"/>
  <c r="D47" i="18"/>
  <c r="E47" i="18" s="1"/>
  <c r="D35" i="12"/>
  <c r="D55" i="12"/>
  <c r="D72" i="18"/>
  <c r="E72" i="18" s="1"/>
  <c r="D43" i="12"/>
  <c r="D19" i="18"/>
  <c r="C21" i="19"/>
  <c r="C72" i="19"/>
  <c r="E71" i="20"/>
  <c r="C19" i="19"/>
  <c r="E24" i="20"/>
  <c r="E61" i="20"/>
  <c r="E29" i="20"/>
  <c r="E49" i="20"/>
  <c r="D64" i="13"/>
  <c r="E50" i="20"/>
  <c r="D64" i="14"/>
  <c r="E21" i="20"/>
  <c r="D72" i="15"/>
  <c r="D64" i="15"/>
  <c r="D72" i="17"/>
  <c r="D64" i="17"/>
  <c r="D54" i="17"/>
  <c r="D54" i="16"/>
  <c r="D54" i="15"/>
  <c r="D54" i="14"/>
  <c r="D54" i="13"/>
  <c r="D54" i="18"/>
  <c r="E54" i="18" s="1"/>
  <c r="D54" i="12"/>
  <c r="C54" i="19"/>
  <c r="D71" i="16"/>
  <c r="D71" i="15"/>
  <c r="D71" i="14"/>
  <c r="D71" i="13"/>
  <c r="D71" i="12"/>
  <c r="C71" i="19"/>
  <c r="D71" i="17"/>
  <c r="D71" i="18"/>
  <c r="E71" i="18" s="1"/>
  <c r="D73" i="14"/>
  <c r="D73" i="13"/>
  <c r="D73" i="12"/>
  <c r="C73" i="19"/>
  <c r="D73" i="18"/>
  <c r="E73" i="18" s="1"/>
  <c r="D73" i="17"/>
  <c r="D73" i="15"/>
  <c r="D73" i="16"/>
  <c r="D66" i="13"/>
  <c r="C66" i="19"/>
  <c r="D66" i="18"/>
  <c r="D66" i="17"/>
  <c r="D66" i="16"/>
  <c r="D66" i="14"/>
  <c r="D66" i="15"/>
  <c r="D66" i="12"/>
  <c r="D58" i="13"/>
  <c r="C58" i="19"/>
  <c r="D58" i="18"/>
  <c r="D58" i="17"/>
  <c r="D58" i="16"/>
  <c r="D58" i="14"/>
  <c r="D58" i="12"/>
  <c r="D55" i="9" s="1"/>
  <c r="D58" i="15"/>
  <c r="D85" i="18"/>
  <c r="E85" i="18" s="1"/>
  <c r="G85" i="18" s="1"/>
  <c r="D85" i="17"/>
  <c r="D85" i="16"/>
  <c r="D85" i="15"/>
  <c r="D85" i="14"/>
  <c r="D85" i="13"/>
  <c r="C85" i="19"/>
  <c r="D85" i="12"/>
  <c r="D62" i="17"/>
  <c r="D62" i="16"/>
  <c r="D62" i="15"/>
  <c r="D62" i="14"/>
  <c r="D62" i="13"/>
  <c r="D62" i="18"/>
  <c r="E62" i="18" s="1"/>
  <c r="C62" i="19"/>
  <c r="D62" i="12"/>
  <c r="D79" i="16"/>
  <c r="D79" i="15"/>
  <c r="D79" i="14"/>
  <c r="D79" i="13"/>
  <c r="D79" i="12"/>
  <c r="C79" i="19"/>
  <c r="D79" i="17"/>
  <c r="D79" i="18"/>
  <c r="E79" i="18" s="1"/>
  <c r="G79" i="18" s="1"/>
  <c r="M30" i="9"/>
  <c r="D48" i="15"/>
  <c r="D48" i="14"/>
  <c r="D48" i="13"/>
  <c r="C48" i="19"/>
  <c r="D48" i="18"/>
  <c r="E48" i="18" s="1"/>
  <c r="F48" i="18" s="1"/>
  <c r="D48" i="16"/>
  <c r="D48" i="12"/>
  <c r="D48" i="17"/>
  <c r="D49" i="14"/>
  <c r="D49" i="13"/>
  <c r="C49" i="19"/>
  <c r="D49" i="18"/>
  <c r="E49" i="18" s="1"/>
  <c r="D49" i="17"/>
  <c r="D49" i="15"/>
  <c r="D49" i="16"/>
  <c r="D49" i="12"/>
  <c r="D45" i="18"/>
  <c r="E45" i="18" s="1"/>
  <c r="D45" i="17"/>
  <c r="D45" i="16"/>
  <c r="D45" i="15"/>
  <c r="D45" i="14"/>
  <c r="D45" i="13"/>
  <c r="C45" i="19"/>
  <c r="D45" i="12"/>
  <c r="D32" i="15"/>
  <c r="D32" i="14"/>
  <c r="D32" i="13"/>
  <c r="C32" i="19"/>
  <c r="D32" i="18"/>
  <c r="E32" i="18" s="1"/>
  <c r="F32" i="18" s="1"/>
  <c r="D32" i="16"/>
  <c r="D32" i="12"/>
  <c r="D32" i="17"/>
  <c r="D81" i="14"/>
  <c r="D81" i="13"/>
  <c r="D81" i="12"/>
  <c r="C81" i="19"/>
  <c r="D81" i="18"/>
  <c r="E81" i="18" s="1"/>
  <c r="D81" i="17"/>
  <c r="D81" i="15"/>
  <c r="D81" i="16"/>
  <c r="D50" i="13"/>
  <c r="C50" i="19"/>
  <c r="D50" i="18"/>
  <c r="D50" i="17"/>
  <c r="D50" i="16"/>
  <c r="D50" i="14"/>
  <c r="D50" i="15"/>
  <c r="D50" i="12"/>
  <c r="D31" i="16"/>
  <c r="D31" i="15"/>
  <c r="D31" i="14"/>
  <c r="D31" i="13"/>
  <c r="C31" i="19"/>
  <c r="D31" i="17"/>
  <c r="D31" i="12"/>
  <c r="D31" i="18"/>
  <c r="D63" i="16"/>
  <c r="D63" i="15"/>
  <c r="D63" i="14"/>
  <c r="D63" i="13"/>
  <c r="C63" i="19"/>
  <c r="D63" i="17"/>
  <c r="D63" i="18"/>
  <c r="E63" i="18" s="1"/>
  <c r="D63" i="12"/>
  <c r="D29" i="18"/>
  <c r="E29" i="18" s="1"/>
  <c r="D29" i="17"/>
  <c r="D29" i="16"/>
  <c r="D29" i="15"/>
  <c r="D29" i="14"/>
  <c r="D29" i="13"/>
  <c r="C29" i="19"/>
  <c r="D29" i="12"/>
  <c r="C51" i="19"/>
  <c r="D51" i="18"/>
  <c r="D51" i="17"/>
  <c r="D51" i="16"/>
  <c r="D51" i="15"/>
  <c r="D51" i="13"/>
  <c r="D51" i="14"/>
  <c r="D51" i="12"/>
  <c r="D37" i="18"/>
  <c r="E37" i="18" s="1"/>
  <c r="D37" i="17"/>
  <c r="D37" i="16"/>
  <c r="D37" i="15"/>
  <c r="D37" i="14"/>
  <c r="D37" i="13"/>
  <c r="C37" i="19"/>
  <c r="D37" i="12"/>
  <c r="D30" i="17"/>
  <c r="D30" i="16"/>
  <c r="D30" i="15"/>
  <c r="D30" i="14"/>
  <c r="D30" i="13"/>
  <c r="D30" i="18"/>
  <c r="J27" i="9" s="1"/>
  <c r="C30" i="19"/>
  <c r="D30" i="12"/>
  <c r="C60" i="19"/>
  <c r="D60" i="18"/>
  <c r="E60" i="18" s="1"/>
  <c r="D60" i="17"/>
  <c r="D60" i="16"/>
  <c r="H57" i="9" s="1"/>
  <c r="D60" i="15"/>
  <c r="G57" i="9" s="1"/>
  <c r="E53" i="8" s="1"/>
  <c r="D60" i="14"/>
  <c r="F57" i="9" s="1"/>
  <c r="D60" i="13"/>
  <c r="D60" i="12"/>
  <c r="D53" i="18"/>
  <c r="E53" i="18" s="1"/>
  <c r="D53" i="17"/>
  <c r="D53" i="16"/>
  <c r="D53" i="15"/>
  <c r="D53" i="14"/>
  <c r="D53" i="13"/>
  <c r="C53" i="19"/>
  <c r="D53" i="12"/>
  <c r="C84" i="19"/>
  <c r="D84" i="18"/>
  <c r="E84" i="18" s="1"/>
  <c r="D84" i="17"/>
  <c r="D84" i="16"/>
  <c r="D84" i="15"/>
  <c r="D84" i="14"/>
  <c r="D84" i="12"/>
  <c r="D84" i="13"/>
  <c r="D33" i="14"/>
  <c r="D33" i="13"/>
  <c r="C33" i="19"/>
  <c r="D33" i="18"/>
  <c r="J30" i="9" s="1"/>
  <c r="D33" i="17"/>
  <c r="D33" i="15"/>
  <c r="D33" i="16"/>
  <c r="D33" i="12"/>
  <c r="D69" i="18"/>
  <c r="E69" i="18" s="1"/>
  <c r="D69" i="17"/>
  <c r="D69" i="16"/>
  <c r="D69" i="15"/>
  <c r="D69" i="14"/>
  <c r="D69" i="13"/>
  <c r="C69" i="19"/>
  <c r="D69" i="12"/>
  <c r="E79" i="20"/>
  <c r="E58" i="20"/>
  <c r="C52" i="19"/>
  <c r="D52" i="18"/>
  <c r="E52" i="18" s="1"/>
  <c r="G52" i="18" s="1"/>
  <c r="D52" i="17"/>
  <c r="D52" i="16"/>
  <c r="D52" i="15"/>
  <c r="D52" i="14"/>
  <c r="D52" i="13"/>
  <c r="D52" i="12"/>
  <c r="D41" i="14"/>
  <c r="D41" i="13"/>
  <c r="C41" i="19"/>
  <c r="D41" i="18"/>
  <c r="J38" i="9" s="1"/>
  <c r="D41" i="17"/>
  <c r="D41" i="15"/>
  <c r="D41" i="16"/>
  <c r="D41" i="12"/>
  <c r="D83" i="12"/>
  <c r="C83" i="19"/>
  <c r="D83" i="18"/>
  <c r="E83" i="18" s="1"/>
  <c r="D83" i="17"/>
  <c r="D83" i="16"/>
  <c r="D83" i="15"/>
  <c r="D83" i="13"/>
  <c r="D83" i="14"/>
  <c r="D78" i="17"/>
  <c r="D78" i="16"/>
  <c r="D78" i="15"/>
  <c r="D78" i="14"/>
  <c r="D78" i="13"/>
  <c r="D78" i="12"/>
  <c r="D78" i="18"/>
  <c r="C78" i="19"/>
  <c r="D23" i="16"/>
  <c r="D23" i="15"/>
  <c r="D23" i="14"/>
  <c r="D23" i="13"/>
  <c r="C23" i="19"/>
  <c r="D23" i="17"/>
  <c r="D23" i="12"/>
  <c r="D23" i="18"/>
  <c r="D65" i="14"/>
  <c r="D65" i="13"/>
  <c r="C65" i="19"/>
  <c r="D65" i="18"/>
  <c r="J62" i="9" s="1"/>
  <c r="D65" i="17"/>
  <c r="D65" i="15"/>
  <c r="D65" i="16"/>
  <c r="D65" i="12"/>
  <c r="C27" i="19"/>
  <c r="D27" i="18"/>
  <c r="J24" i="9" s="1"/>
  <c r="D27" i="17"/>
  <c r="D27" i="16"/>
  <c r="D27" i="15"/>
  <c r="D27" i="13"/>
  <c r="D27" i="14"/>
  <c r="D27" i="12"/>
  <c r="D82" i="13"/>
  <c r="D82" i="12"/>
  <c r="C82" i="19"/>
  <c r="D82" i="18"/>
  <c r="J79" i="9" s="1"/>
  <c r="D82" i="17"/>
  <c r="D82" i="16"/>
  <c r="D82" i="14"/>
  <c r="D82" i="15"/>
  <c r="C76" i="19"/>
  <c r="D76" i="18"/>
  <c r="E76" i="18" s="1"/>
  <c r="G76" i="18" s="1"/>
  <c r="D76" i="17"/>
  <c r="D76" i="16"/>
  <c r="D76" i="15"/>
  <c r="D76" i="14"/>
  <c r="D76" i="12"/>
  <c r="D76" i="13"/>
  <c r="D25" i="14"/>
  <c r="D25" i="13"/>
  <c r="C25" i="19"/>
  <c r="D25" i="18"/>
  <c r="E25" i="18" s="1"/>
  <c r="D25" i="17"/>
  <c r="D25" i="15"/>
  <c r="D25" i="16"/>
  <c r="D25" i="12"/>
  <c r="C28" i="19"/>
  <c r="D28" i="18"/>
  <c r="E28" i="18" s="1"/>
  <c r="G28" i="18" s="1"/>
  <c r="D28" i="17"/>
  <c r="D28" i="16"/>
  <c r="D28" i="15"/>
  <c r="D28" i="14"/>
  <c r="D28" i="12"/>
  <c r="D28" i="13"/>
  <c r="E27" i="20"/>
  <c r="E82" i="20"/>
  <c r="C44" i="19"/>
  <c r="D44" i="18"/>
  <c r="E44" i="18" s="1"/>
  <c r="G44" i="18" s="1"/>
  <c r="D44" i="17"/>
  <c r="D44" i="16"/>
  <c r="D44" i="15"/>
  <c r="D44" i="14"/>
  <c r="D44" i="12"/>
  <c r="D44" i="13"/>
  <c r="C36" i="19"/>
  <c r="D36" i="18"/>
  <c r="E36" i="18" s="1"/>
  <c r="G36" i="18" s="1"/>
  <c r="D36" i="17"/>
  <c r="D36" i="16"/>
  <c r="D36" i="15"/>
  <c r="D36" i="14"/>
  <c r="D36" i="12"/>
  <c r="D36" i="13"/>
  <c r="D75" i="12"/>
  <c r="C75" i="19"/>
  <c r="D75" i="18"/>
  <c r="D75" i="17"/>
  <c r="D75" i="16"/>
  <c r="D75" i="15"/>
  <c r="D75" i="13"/>
  <c r="D75" i="14"/>
  <c r="D74" i="13"/>
  <c r="D74" i="12"/>
  <c r="C74" i="19"/>
  <c r="D74" i="18"/>
  <c r="D74" i="17"/>
  <c r="D74" i="16"/>
  <c r="D74" i="14"/>
  <c r="D74" i="15"/>
  <c r="C67" i="19"/>
  <c r="D67" i="18"/>
  <c r="J64" i="9" s="1"/>
  <c r="D67" i="17"/>
  <c r="D67" i="16"/>
  <c r="D67" i="15"/>
  <c r="D67" i="13"/>
  <c r="D67" i="14"/>
  <c r="D67" i="12"/>
  <c r="D70" i="17"/>
  <c r="D70" i="16"/>
  <c r="D70" i="15"/>
  <c r="D70" i="14"/>
  <c r="D70" i="13"/>
  <c r="D70" i="12"/>
  <c r="D70" i="18"/>
  <c r="E70" i="18" s="1"/>
  <c r="C70" i="19"/>
  <c r="D61" i="18"/>
  <c r="E61" i="18" s="1"/>
  <c r="F61" i="18" s="1"/>
  <c r="D61" i="17"/>
  <c r="D61" i="16"/>
  <c r="D61" i="15"/>
  <c r="D61" i="14"/>
  <c r="D61" i="13"/>
  <c r="C61" i="19"/>
  <c r="D61" i="12"/>
  <c r="D26" i="13"/>
  <c r="C26" i="19"/>
  <c r="D26" i="18"/>
  <c r="D26" i="17"/>
  <c r="D26" i="16"/>
  <c r="D26" i="14"/>
  <c r="D26" i="15"/>
  <c r="D26" i="12"/>
  <c r="C59" i="19"/>
  <c r="D59" i="18"/>
  <c r="J56" i="9" s="1"/>
  <c r="D59" i="17"/>
  <c r="D59" i="16"/>
  <c r="D59" i="15"/>
  <c r="D59" i="13"/>
  <c r="D59" i="14"/>
  <c r="D59" i="12"/>
  <c r="C68" i="19"/>
  <c r="D68" i="18"/>
  <c r="E68" i="18" s="1"/>
  <c r="G68" i="18" s="1"/>
  <c r="D68" i="17"/>
  <c r="D68" i="16"/>
  <c r="D68" i="15"/>
  <c r="D68" i="14"/>
  <c r="D68" i="12"/>
  <c r="D68" i="13"/>
  <c r="C20" i="19"/>
  <c r="D20" i="18"/>
  <c r="E20" i="18" s="1"/>
  <c r="G20" i="18" s="1"/>
  <c r="D20" i="17"/>
  <c r="D20" i="16"/>
  <c r="D20" i="15"/>
  <c r="D20" i="14"/>
  <c r="D20" i="13"/>
  <c r="D20" i="12"/>
  <c r="E83" i="20"/>
  <c r="E19" i="20"/>
  <c r="E74" i="20"/>
  <c r="E33" i="20"/>
  <c r="D57" i="14"/>
  <c r="D57" i="13"/>
  <c r="C57" i="19"/>
  <c r="D57" i="18"/>
  <c r="J54" i="9" s="1"/>
  <c r="D57" i="17"/>
  <c r="D57" i="15"/>
  <c r="D57" i="16"/>
  <c r="D57" i="12"/>
  <c r="D40" i="15"/>
  <c r="D40" i="14"/>
  <c r="D40" i="13"/>
  <c r="C40" i="19"/>
  <c r="D40" i="18"/>
  <c r="E40" i="18" s="1"/>
  <c r="G40" i="18" s="1"/>
  <c r="D40" i="16"/>
  <c r="D40" i="12"/>
  <c r="D40" i="17"/>
  <c r="C60" i="17"/>
  <c r="E60" i="17" s="1"/>
  <c r="I57" i="9"/>
  <c r="C60" i="14"/>
  <c r="E21" i="5"/>
  <c r="D21" i="5"/>
  <c r="C21" i="5"/>
  <c r="J21" i="5"/>
  <c r="H21" i="5"/>
  <c r="F21" i="5"/>
  <c r="G21" i="5"/>
  <c r="C63" i="5"/>
  <c r="J63" i="5"/>
  <c r="H63" i="5"/>
  <c r="G63" i="5"/>
  <c r="F63" i="5"/>
  <c r="D63" i="5"/>
  <c r="E63" i="5"/>
  <c r="J48" i="5"/>
  <c r="H48" i="5"/>
  <c r="G48" i="5"/>
  <c r="F48" i="5"/>
  <c r="E48" i="5"/>
  <c r="C48" i="5"/>
  <c r="D48" i="5"/>
  <c r="H34" i="5"/>
  <c r="G34" i="5"/>
  <c r="F34" i="5"/>
  <c r="E34" i="5"/>
  <c r="D34" i="5"/>
  <c r="C34" i="5"/>
  <c r="J34" i="5"/>
  <c r="J41" i="5"/>
  <c r="H41" i="5"/>
  <c r="G41" i="5"/>
  <c r="F41" i="5"/>
  <c r="E41" i="5"/>
  <c r="D41" i="5"/>
  <c r="C41" i="5"/>
  <c r="J24" i="5"/>
  <c r="H24" i="5"/>
  <c r="G24" i="5"/>
  <c r="F24" i="5"/>
  <c r="E24" i="5"/>
  <c r="C24" i="5"/>
  <c r="D24" i="5"/>
  <c r="J16" i="5"/>
  <c r="H16" i="5"/>
  <c r="G16" i="5"/>
  <c r="F16" i="5"/>
  <c r="E16" i="5"/>
  <c r="C16" i="5"/>
  <c r="D16" i="5"/>
  <c r="D46" i="5"/>
  <c r="C46" i="5"/>
  <c r="J46" i="5"/>
  <c r="H46" i="5"/>
  <c r="G46" i="5"/>
  <c r="E46" i="5"/>
  <c r="F46" i="5"/>
  <c r="G27" i="5"/>
  <c r="F27" i="5"/>
  <c r="E27" i="5"/>
  <c r="D27" i="5"/>
  <c r="C27" i="5"/>
  <c r="H27" i="5"/>
  <c r="J27" i="5"/>
  <c r="G19" i="5"/>
  <c r="F19" i="5"/>
  <c r="E19" i="5"/>
  <c r="D19" i="5"/>
  <c r="C19" i="5"/>
  <c r="H19" i="5"/>
  <c r="J19" i="5"/>
  <c r="G11" i="5"/>
  <c r="F11" i="5"/>
  <c r="E11" i="5"/>
  <c r="D11" i="5"/>
  <c r="C11" i="5"/>
  <c r="H11" i="5"/>
  <c r="J11" i="5"/>
  <c r="C60" i="16"/>
  <c r="E13" i="5"/>
  <c r="D13" i="5"/>
  <c r="C13" i="5"/>
  <c r="J13" i="5"/>
  <c r="H13" i="5"/>
  <c r="F13" i="5"/>
  <c r="G13" i="5"/>
  <c r="G25" i="9"/>
  <c r="C28" i="15"/>
  <c r="E28" i="15" s="1"/>
  <c r="I10" i="20"/>
  <c r="I12" i="20"/>
  <c r="G77" i="20" s="1"/>
  <c r="I9" i="20"/>
  <c r="J57" i="5"/>
  <c r="H57" i="5"/>
  <c r="G57" i="5"/>
  <c r="F57" i="5"/>
  <c r="E57" i="5"/>
  <c r="D57" i="5"/>
  <c r="C57" i="5"/>
  <c r="B33" i="19"/>
  <c r="E33" i="19" s="1"/>
  <c r="C30" i="9"/>
  <c r="F76" i="5"/>
  <c r="E76" i="5"/>
  <c r="D76" i="5"/>
  <c r="C76" i="5"/>
  <c r="J76" i="5"/>
  <c r="G76" i="5"/>
  <c r="H76" i="5"/>
  <c r="B58" i="19"/>
  <c r="C55" i="9"/>
  <c r="C34" i="13"/>
  <c r="E34" i="13" s="1"/>
  <c r="E31" i="9"/>
  <c r="C27" i="8" s="1"/>
  <c r="C33" i="12"/>
  <c r="E33" i="12" s="1"/>
  <c r="G33" i="12" s="1"/>
  <c r="D30" i="9"/>
  <c r="H10" i="19"/>
  <c r="H9" i="19"/>
  <c r="H12" i="19"/>
  <c r="G67" i="5"/>
  <c r="F67" i="5"/>
  <c r="E67" i="5"/>
  <c r="D67" i="5"/>
  <c r="C67" i="5"/>
  <c r="H67" i="5"/>
  <c r="J67" i="5"/>
  <c r="G59" i="5"/>
  <c r="F59" i="5"/>
  <c r="E59" i="5"/>
  <c r="D59" i="5"/>
  <c r="C59" i="5"/>
  <c r="H59" i="5"/>
  <c r="J59" i="5"/>
  <c r="D62" i="5"/>
  <c r="C62" i="5"/>
  <c r="J62" i="5"/>
  <c r="H62" i="5"/>
  <c r="G62" i="5"/>
  <c r="E62" i="5"/>
  <c r="F62" i="5"/>
  <c r="F60" i="5"/>
  <c r="E60" i="5"/>
  <c r="D60" i="5"/>
  <c r="C60" i="5"/>
  <c r="J60" i="5"/>
  <c r="G60" i="5"/>
  <c r="H60" i="5"/>
  <c r="J49" i="5"/>
  <c r="H49" i="5"/>
  <c r="G49" i="5"/>
  <c r="F49" i="5"/>
  <c r="E49" i="5"/>
  <c r="D49" i="5"/>
  <c r="C49" i="5"/>
  <c r="J43" i="5"/>
  <c r="E26" i="5"/>
  <c r="D50" i="5"/>
  <c r="D25" i="5"/>
  <c r="J20" i="5"/>
  <c r="K62" i="9"/>
  <c r="K30" i="9"/>
  <c r="D43" i="5"/>
  <c r="M46" i="9"/>
  <c r="C71" i="5"/>
  <c r="J71" i="5"/>
  <c r="H71" i="5"/>
  <c r="G71" i="5"/>
  <c r="F71" i="5"/>
  <c r="D71" i="5"/>
  <c r="E71" i="5"/>
  <c r="J65" i="5"/>
  <c r="H65" i="5"/>
  <c r="G65" i="5"/>
  <c r="F65" i="5"/>
  <c r="E65" i="5"/>
  <c r="D65" i="5"/>
  <c r="C65" i="5"/>
  <c r="H66" i="5"/>
  <c r="G66" i="5"/>
  <c r="F66" i="5"/>
  <c r="E66" i="5"/>
  <c r="D66" i="5"/>
  <c r="C66" i="5"/>
  <c r="J66" i="5"/>
  <c r="D22" i="5"/>
  <c r="C22" i="5"/>
  <c r="J22" i="5"/>
  <c r="H22" i="5"/>
  <c r="G22" i="5"/>
  <c r="E22" i="5"/>
  <c r="F22" i="5"/>
  <c r="D14" i="5"/>
  <c r="C14" i="5"/>
  <c r="J14" i="5"/>
  <c r="H14" i="5"/>
  <c r="G14" i="5"/>
  <c r="E14" i="5"/>
  <c r="F14" i="5"/>
  <c r="C31" i="5"/>
  <c r="J31" i="5"/>
  <c r="H31" i="5"/>
  <c r="G31" i="5"/>
  <c r="F31" i="5"/>
  <c r="D31" i="5"/>
  <c r="E31" i="5"/>
  <c r="F36" i="5"/>
  <c r="E36" i="5"/>
  <c r="D36" i="5"/>
  <c r="C36" i="5"/>
  <c r="J36" i="5"/>
  <c r="G36" i="5"/>
  <c r="H36" i="5"/>
  <c r="C12" i="5"/>
  <c r="F26" i="5"/>
  <c r="E50" i="5"/>
  <c r="E25" i="5"/>
  <c r="B13" i="5"/>
  <c r="B20" i="20"/>
  <c r="A20" i="19"/>
  <c r="B20" i="16"/>
  <c r="B20" i="17"/>
  <c r="B20" i="15"/>
  <c r="B20" i="14"/>
  <c r="B20" i="12"/>
  <c r="B20" i="18"/>
  <c r="B20" i="13"/>
  <c r="E43" i="5"/>
  <c r="M62" i="9"/>
  <c r="M38" i="9"/>
  <c r="C39" i="5"/>
  <c r="J39" i="5"/>
  <c r="H39" i="5"/>
  <c r="G39" i="5"/>
  <c r="F39" i="5"/>
  <c r="D39" i="5"/>
  <c r="E39" i="5"/>
  <c r="D38" i="5"/>
  <c r="C38" i="5"/>
  <c r="J38" i="5"/>
  <c r="H38" i="5"/>
  <c r="G38" i="5"/>
  <c r="E38" i="5"/>
  <c r="F38" i="5"/>
  <c r="H42" i="5"/>
  <c r="G42" i="5"/>
  <c r="F42" i="5"/>
  <c r="E42" i="5"/>
  <c r="D42" i="5"/>
  <c r="C42" i="5"/>
  <c r="J42" i="5"/>
  <c r="M22" i="4"/>
  <c r="K21" i="5" s="1"/>
  <c r="L81" i="9"/>
  <c r="L77" i="9"/>
  <c r="L73" i="9"/>
  <c r="L69" i="9"/>
  <c r="L65" i="9"/>
  <c r="L61" i="9"/>
  <c r="L57" i="9"/>
  <c r="L80" i="9"/>
  <c r="L76" i="9"/>
  <c r="L72" i="9"/>
  <c r="L68" i="9"/>
  <c r="L64" i="9"/>
  <c r="L60" i="9"/>
  <c r="L79" i="9"/>
  <c r="L53" i="9"/>
  <c r="L49" i="9"/>
  <c r="L45" i="9"/>
  <c r="L41" i="9"/>
  <c r="L37" i="9"/>
  <c r="L33" i="9"/>
  <c r="L29" i="9"/>
  <c r="L25" i="9"/>
  <c r="L21" i="9"/>
  <c r="L17" i="9"/>
  <c r="L54" i="9"/>
  <c r="L38" i="9"/>
  <c r="L30" i="9"/>
  <c r="L22" i="9"/>
  <c r="L67" i="9"/>
  <c r="L58" i="9"/>
  <c r="L18" i="9"/>
  <c r="L56" i="9"/>
  <c r="L52" i="9"/>
  <c r="L48" i="9"/>
  <c r="L44" i="9"/>
  <c r="L40" i="9"/>
  <c r="L36" i="9"/>
  <c r="L32" i="9"/>
  <c r="L28" i="9"/>
  <c r="L24" i="9"/>
  <c r="L20" i="9"/>
  <c r="L16" i="9"/>
  <c r="L46" i="9"/>
  <c r="L75" i="9"/>
  <c r="L66" i="9"/>
  <c r="L63" i="9"/>
  <c r="L55" i="9"/>
  <c r="L51" i="9"/>
  <c r="L47" i="9"/>
  <c r="L43" i="9"/>
  <c r="L39" i="9"/>
  <c r="L35" i="9"/>
  <c r="L31" i="9"/>
  <c r="L27" i="9"/>
  <c r="L23" i="9"/>
  <c r="L19" i="9"/>
  <c r="L50" i="9"/>
  <c r="L74" i="9"/>
  <c r="L62" i="9"/>
  <c r="L42" i="9"/>
  <c r="L34" i="9"/>
  <c r="L26" i="9"/>
  <c r="L82" i="9"/>
  <c r="L59" i="9"/>
  <c r="L71" i="9"/>
  <c r="B60" i="19"/>
  <c r="E60" i="19" s="1"/>
  <c r="C57" i="9"/>
  <c r="D12" i="5"/>
  <c r="G26" i="5"/>
  <c r="F50" i="5"/>
  <c r="F25" i="5"/>
  <c r="C20" i="5"/>
  <c r="K54" i="9"/>
  <c r="K22" i="9"/>
  <c r="J17" i="5"/>
  <c r="H17" i="5"/>
  <c r="G17" i="5"/>
  <c r="F17" i="5"/>
  <c r="E17" i="5"/>
  <c r="D17" i="5"/>
  <c r="C17" i="5"/>
  <c r="F43" i="5"/>
  <c r="G75" i="5"/>
  <c r="F75" i="5"/>
  <c r="E75" i="5"/>
  <c r="D75" i="5"/>
  <c r="C75" i="5"/>
  <c r="H75" i="5"/>
  <c r="J75" i="5"/>
  <c r="D70" i="5"/>
  <c r="C70" i="5"/>
  <c r="J70" i="5"/>
  <c r="H70" i="5"/>
  <c r="G70" i="5"/>
  <c r="E70" i="5"/>
  <c r="F70" i="5"/>
  <c r="E61" i="5"/>
  <c r="D61" i="5"/>
  <c r="C61" i="5"/>
  <c r="K61" i="5"/>
  <c r="J61" i="5"/>
  <c r="H61" i="5"/>
  <c r="F61" i="5"/>
  <c r="G61" i="5"/>
  <c r="J73" i="5"/>
  <c r="H73" i="5"/>
  <c r="G73" i="5"/>
  <c r="F73" i="5"/>
  <c r="E73" i="5"/>
  <c r="D73" i="5"/>
  <c r="C73" i="5"/>
  <c r="H74" i="5"/>
  <c r="G74" i="5"/>
  <c r="F74" i="5"/>
  <c r="E74" i="5"/>
  <c r="D74" i="5"/>
  <c r="C74" i="5"/>
  <c r="J74" i="5"/>
  <c r="C47" i="5"/>
  <c r="J47" i="5"/>
  <c r="H47" i="5"/>
  <c r="G47" i="5"/>
  <c r="F47" i="5"/>
  <c r="D47" i="5"/>
  <c r="E47" i="5"/>
  <c r="J56" i="5"/>
  <c r="H56" i="5"/>
  <c r="G56" i="5"/>
  <c r="F56" i="5"/>
  <c r="E56" i="5"/>
  <c r="C56" i="5"/>
  <c r="D56" i="5"/>
  <c r="G51" i="5"/>
  <c r="F51" i="5"/>
  <c r="E51" i="5"/>
  <c r="D51" i="5"/>
  <c r="C51" i="5"/>
  <c r="H51" i="5"/>
  <c r="J51" i="5"/>
  <c r="M53" i="4"/>
  <c r="K52" i="5" s="1"/>
  <c r="E12" i="5"/>
  <c r="H26" i="5"/>
  <c r="G50" i="5"/>
  <c r="G25" i="5"/>
  <c r="D20" i="5"/>
  <c r="M80" i="9"/>
  <c r="M76" i="9"/>
  <c r="M72" i="9"/>
  <c r="M68" i="9"/>
  <c r="M64" i="9"/>
  <c r="M60" i="9"/>
  <c r="M56" i="9"/>
  <c r="M79" i="9"/>
  <c r="M75" i="9"/>
  <c r="M71" i="9"/>
  <c r="M67" i="9"/>
  <c r="M63" i="9"/>
  <c r="M59" i="9"/>
  <c r="M81" i="9"/>
  <c r="M77" i="9"/>
  <c r="M73" i="9"/>
  <c r="M69" i="9"/>
  <c r="M65" i="9"/>
  <c r="M61" i="9"/>
  <c r="M57" i="9"/>
  <c r="M58" i="9"/>
  <c r="M82" i="9"/>
  <c r="M78" i="9"/>
  <c r="M52" i="9"/>
  <c r="M48" i="9"/>
  <c r="M44" i="9"/>
  <c r="M40" i="9"/>
  <c r="M36" i="9"/>
  <c r="M32" i="9"/>
  <c r="M28" i="9"/>
  <c r="M24" i="9"/>
  <c r="M20" i="9"/>
  <c r="M16" i="9"/>
  <c r="M66" i="9"/>
  <c r="M55" i="9"/>
  <c r="M51" i="9"/>
  <c r="M47" i="9"/>
  <c r="M43" i="9"/>
  <c r="M39" i="9"/>
  <c r="M35" i="9"/>
  <c r="M31" i="9"/>
  <c r="M27" i="9"/>
  <c r="M23" i="9"/>
  <c r="M19" i="9"/>
  <c r="M74" i="9"/>
  <c r="M50" i="9"/>
  <c r="M42" i="9"/>
  <c r="M34" i="9"/>
  <c r="M26" i="9"/>
  <c r="M18" i="9"/>
  <c r="M53" i="9"/>
  <c r="M49" i="9"/>
  <c r="M45" i="9"/>
  <c r="M41" i="9"/>
  <c r="M37" i="9"/>
  <c r="M33" i="9"/>
  <c r="M29" i="9"/>
  <c r="M25" i="9"/>
  <c r="M21" i="9"/>
  <c r="M17" i="9"/>
  <c r="G43" i="5"/>
  <c r="M22" i="9"/>
  <c r="C60" i="15"/>
  <c r="E60" i="15" s="1"/>
  <c r="J40" i="5"/>
  <c r="H40" i="5"/>
  <c r="G40" i="5"/>
  <c r="F40" i="5"/>
  <c r="E40" i="5"/>
  <c r="C40" i="5"/>
  <c r="D40" i="5"/>
  <c r="J64" i="5"/>
  <c r="H64" i="5"/>
  <c r="G64" i="5"/>
  <c r="F64" i="5"/>
  <c r="E64" i="5"/>
  <c r="C64" i="5"/>
  <c r="D64" i="5"/>
  <c r="E77" i="5"/>
  <c r="D77" i="5"/>
  <c r="C77" i="5"/>
  <c r="J77" i="5"/>
  <c r="H77" i="5"/>
  <c r="F77" i="5"/>
  <c r="G77" i="5"/>
  <c r="E29" i="5"/>
  <c r="D29" i="5"/>
  <c r="C29" i="5"/>
  <c r="J29" i="5"/>
  <c r="H29" i="5"/>
  <c r="F29" i="5"/>
  <c r="G29" i="5"/>
  <c r="C60" i="12"/>
  <c r="E60" i="12" s="1"/>
  <c r="D57" i="9"/>
  <c r="F12" i="5"/>
  <c r="L78" i="9"/>
  <c r="H18" i="5"/>
  <c r="G18" i="5"/>
  <c r="F18" i="5"/>
  <c r="E18" i="5"/>
  <c r="D18" i="5"/>
  <c r="C18" i="5"/>
  <c r="J18" i="5"/>
  <c r="H50" i="5"/>
  <c r="H25" i="5"/>
  <c r="E20" i="5"/>
  <c r="K78" i="9"/>
  <c r="K46" i="9"/>
  <c r="H20" i="5"/>
  <c r="C58" i="12"/>
  <c r="C51" i="12"/>
  <c r="E51" i="12" s="1"/>
  <c r="D48" i="9"/>
  <c r="D54" i="5"/>
  <c r="C54" i="5"/>
  <c r="J54" i="5"/>
  <c r="H54" i="5"/>
  <c r="G54" i="5"/>
  <c r="E54" i="5"/>
  <c r="F54" i="5"/>
  <c r="E69" i="5"/>
  <c r="D69" i="5"/>
  <c r="C69" i="5"/>
  <c r="J69" i="5"/>
  <c r="H69" i="5"/>
  <c r="F69" i="5"/>
  <c r="G69" i="5"/>
  <c r="F44" i="5"/>
  <c r="E44" i="5"/>
  <c r="D44" i="5"/>
  <c r="C44" i="5"/>
  <c r="J44" i="5"/>
  <c r="G44" i="5"/>
  <c r="H44" i="5"/>
  <c r="F68" i="5"/>
  <c r="E68" i="5"/>
  <c r="D68" i="5"/>
  <c r="C68" i="5"/>
  <c r="J68" i="5"/>
  <c r="G68" i="5"/>
  <c r="H68" i="5"/>
  <c r="E37" i="5"/>
  <c r="D37" i="5"/>
  <c r="C37" i="5"/>
  <c r="J37" i="5"/>
  <c r="H37" i="5"/>
  <c r="F37" i="5"/>
  <c r="G37" i="5"/>
  <c r="C23" i="5"/>
  <c r="J23" i="5"/>
  <c r="H23" i="5"/>
  <c r="G23" i="5"/>
  <c r="F23" i="5"/>
  <c r="D23" i="5"/>
  <c r="E23" i="5"/>
  <c r="C15" i="5"/>
  <c r="J15" i="5"/>
  <c r="H15" i="5"/>
  <c r="G15" i="5"/>
  <c r="F15" i="5"/>
  <c r="D15" i="5"/>
  <c r="E15" i="5"/>
  <c r="F28" i="5"/>
  <c r="E28" i="5"/>
  <c r="D28" i="5"/>
  <c r="C28" i="5"/>
  <c r="J28" i="5"/>
  <c r="G28" i="5"/>
  <c r="H28" i="5"/>
  <c r="D52" i="5"/>
  <c r="J26" i="5"/>
  <c r="J32" i="5"/>
  <c r="H32" i="5"/>
  <c r="G32" i="5"/>
  <c r="F32" i="5"/>
  <c r="E32" i="5"/>
  <c r="C32" i="5"/>
  <c r="D32" i="5"/>
  <c r="H43" i="5"/>
  <c r="H12" i="5"/>
  <c r="J60" i="9"/>
  <c r="J52" i="9"/>
  <c r="J36" i="9"/>
  <c r="J28" i="9"/>
  <c r="J20" i="9"/>
  <c r="J75" i="9"/>
  <c r="J43" i="9"/>
  <c r="J35" i="9"/>
  <c r="J19" i="9"/>
  <c r="J82" i="9"/>
  <c r="J74" i="9"/>
  <c r="J66" i="9"/>
  <c r="J50" i="9"/>
  <c r="J42" i="9"/>
  <c r="J34" i="9"/>
  <c r="J26" i="9"/>
  <c r="J18" i="9"/>
  <c r="J81" i="9"/>
  <c r="J57" i="9"/>
  <c r="J25" i="9"/>
  <c r="J72" i="9"/>
  <c r="J48" i="9"/>
  <c r="J40" i="9"/>
  <c r="J16" i="9"/>
  <c r="J71" i="9"/>
  <c r="J63" i="9"/>
  <c r="J55" i="9"/>
  <c r="J47" i="9"/>
  <c r="J39" i="9"/>
  <c r="J31" i="9"/>
  <c r="J23" i="9"/>
  <c r="J77" i="9"/>
  <c r="J69" i="9"/>
  <c r="J53" i="9"/>
  <c r="J21" i="9"/>
  <c r="J22" i="9"/>
  <c r="J46" i="9"/>
  <c r="J12" i="5"/>
  <c r="G35" i="5"/>
  <c r="F35" i="5"/>
  <c r="E35" i="5"/>
  <c r="D35" i="5"/>
  <c r="C35" i="5"/>
  <c r="H35" i="5"/>
  <c r="J35" i="5"/>
  <c r="H58" i="5"/>
  <c r="G58" i="5"/>
  <c r="F58" i="5"/>
  <c r="E58" i="5"/>
  <c r="D58" i="5"/>
  <c r="C58" i="5"/>
  <c r="J58" i="5"/>
  <c r="D30" i="5"/>
  <c r="C30" i="5"/>
  <c r="J30" i="5"/>
  <c r="H30" i="5"/>
  <c r="G30" i="5"/>
  <c r="E30" i="5"/>
  <c r="F30" i="5"/>
  <c r="C55" i="5"/>
  <c r="J55" i="5"/>
  <c r="H55" i="5"/>
  <c r="G55" i="5"/>
  <c r="F55" i="5"/>
  <c r="D55" i="5"/>
  <c r="E55" i="5"/>
  <c r="J72" i="5"/>
  <c r="H72" i="5"/>
  <c r="G72" i="5"/>
  <c r="F72" i="5"/>
  <c r="E72" i="5"/>
  <c r="C72" i="5"/>
  <c r="D72" i="5"/>
  <c r="E53" i="5"/>
  <c r="D53" i="5"/>
  <c r="C53" i="5"/>
  <c r="J53" i="5"/>
  <c r="H53" i="5"/>
  <c r="F53" i="5"/>
  <c r="G53" i="5"/>
  <c r="J33" i="5"/>
  <c r="H33" i="5"/>
  <c r="G33" i="5"/>
  <c r="F33" i="5"/>
  <c r="E33" i="5"/>
  <c r="D33" i="5"/>
  <c r="C33" i="5"/>
  <c r="E45" i="5"/>
  <c r="D45" i="5"/>
  <c r="C45" i="5"/>
  <c r="J45" i="5"/>
  <c r="H45" i="5"/>
  <c r="F45" i="5"/>
  <c r="G45" i="5"/>
  <c r="E58" i="19"/>
  <c r="C26" i="5"/>
  <c r="K70" i="9"/>
  <c r="M70" i="9"/>
  <c r="E66" i="18"/>
  <c r="E78" i="18"/>
  <c r="E51" i="18"/>
  <c r="E39" i="18"/>
  <c r="E26" i="18"/>
  <c r="E75" i="18"/>
  <c r="E50" i="18"/>
  <c r="E38" i="18"/>
  <c r="E43" i="18"/>
  <c r="E74" i="18"/>
  <c r="E23" i="18"/>
  <c r="E34" i="18"/>
  <c r="E22" i="18"/>
  <c r="E58" i="18"/>
  <c r="E46" i="18"/>
  <c r="E19" i="18"/>
  <c r="E55" i="18"/>
  <c r="E42" i="18"/>
  <c r="E31" i="18"/>
  <c r="F72" i="20"/>
  <c r="G58" i="19"/>
  <c r="F72" i="18"/>
  <c r="G72" i="18"/>
  <c r="G45" i="18"/>
  <c r="F45" i="18"/>
  <c r="G60" i="18"/>
  <c r="F60" i="18"/>
  <c r="F56" i="18"/>
  <c r="G56" i="18"/>
  <c r="G29" i="18"/>
  <c r="F29" i="18"/>
  <c r="G21" i="18"/>
  <c r="F21" i="18"/>
  <c r="G77" i="18"/>
  <c r="F77" i="18"/>
  <c r="G64" i="18"/>
  <c r="G69" i="18"/>
  <c r="F69" i="18"/>
  <c r="G84" i="18"/>
  <c r="F84" i="18"/>
  <c r="F20" i="18"/>
  <c r="F24" i="18"/>
  <c r="G24" i="18"/>
  <c r="G37" i="18"/>
  <c r="F37" i="18"/>
  <c r="F80" i="18"/>
  <c r="G80" i="18"/>
  <c r="G53" i="18"/>
  <c r="F53" i="18"/>
  <c r="G60" i="17"/>
  <c r="F60" i="17"/>
  <c r="AB30" i="11"/>
  <c r="AA30" i="11"/>
  <c r="X30" i="11"/>
  <c r="AD30" i="11"/>
  <c r="AC30" i="11"/>
  <c r="Y30" i="11"/>
  <c r="M41" i="4"/>
  <c r="N41" i="4" s="1"/>
  <c r="M37" i="4"/>
  <c r="K36" i="5" s="1"/>
  <c r="M32" i="4"/>
  <c r="N32" i="4" s="1"/>
  <c r="M76" i="4"/>
  <c r="K75" i="5" s="1"/>
  <c r="M46" i="4"/>
  <c r="N46" i="4" s="1"/>
  <c r="M73" i="4"/>
  <c r="N73" i="4" s="1"/>
  <c r="M64" i="4"/>
  <c r="N64" i="4" s="1"/>
  <c r="M54" i="4"/>
  <c r="N54" i="4" s="1"/>
  <c r="M35" i="4"/>
  <c r="N35" i="4" s="1"/>
  <c r="M25" i="4"/>
  <c r="N25" i="4" s="1"/>
  <c r="M17" i="4"/>
  <c r="N17" i="4" s="1"/>
  <c r="M27" i="4"/>
  <c r="N27" i="4" s="1"/>
  <c r="M19" i="4"/>
  <c r="N19" i="4" s="1"/>
  <c r="M42" i="4"/>
  <c r="N42" i="4" s="1"/>
  <c r="M36" i="4"/>
  <c r="N36" i="4" s="1"/>
  <c r="M60" i="4"/>
  <c r="N60" i="4" s="1"/>
  <c r="M63" i="4"/>
  <c r="N63" i="4" s="1"/>
  <c r="M13" i="4"/>
  <c r="N13" i="4" s="1"/>
  <c r="M50" i="4"/>
  <c r="N50" i="4" s="1"/>
  <c r="M40" i="4"/>
  <c r="N40" i="4" s="1"/>
  <c r="M43" i="4"/>
  <c r="N43" i="4" s="1"/>
  <c r="M68" i="4"/>
  <c r="N68" i="4" s="1"/>
  <c r="M52" i="4"/>
  <c r="N52" i="4" s="1"/>
  <c r="M38" i="4"/>
  <c r="K37" i="5" s="1"/>
  <c r="N38" i="4"/>
  <c r="M29" i="4"/>
  <c r="N29" i="4" s="1"/>
  <c r="M66" i="4"/>
  <c r="K65" i="5" s="1"/>
  <c r="M67" i="4"/>
  <c r="N67" i="4" s="1"/>
  <c r="M45" i="4"/>
  <c r="N45" i="4" s="1"/>
  <c r="M57" i="4"/>
  <c r="N57" i="4" s="1"/>
  <c r="M56" i="4"/>
  <c r="N56" i="4" s="1"/>
  <c r="M77" i="4"/>
  <c r="N77" i="4" s="1"/>
  <c r="M58" i="4"/>
  <c r="N58" i="4" s="1"/>
  <c r="M24" i="4"/>
  <c r="N24" i="4" s="1"/>
  <c r="M51" i="4"/>
  <c r="K50" i="5" s="1"/>
  <c r="M44" i="4"/>
  <c r="N44" i="4" s="1"/>
  <c r="M28" i="4"/>
  <c r="N28" i="4" s="1"/>
  <c r="M20" i="4"/>
  <c r="N20" i="4" s="1"/>
  <c r="M12" i="4"/>
  <c r="K11" i="5" s="1"/>
  <c r="N12" i="4"/>
  <c r="M31" i="4"/>
  <c r="K30" i="5" s="1"/>
  <c r="M23" i="4"/>
  <c r="N23" i="4" s="1"/>
  <c r="M59" i="4"/>
  <c r="N59" i="4" s="1"/>
  <c r="M70" i="4"/>
  <c r="K69" i="5" s="1"/>
  <c r="N70" i="4"/>
  <c r="M71" i="4"/>
  <c r="N71" i="4" s="1"/>
  <c r="M33" i="4"/>
  <c r="K32" i="5" s="1"/>
  <c r="M30" i="4"/>
  <c r="K29" i="5" s="1"/>
  <c r="N30" i="4"/>
  <c r="M26" i="4"/>
  <c r="M18" i="4"/>
  <c r="N18" i="4" s="1"/>
  <c r="M47" i="4"/>
  <c r="K46" i="5" s="1"/>
  <c r="N47" i="4"/>
  <c r="M34" i="4"/>
  <c r="N34" i="4" s="1"/>
  <c r="M15" i="4"/>
  <c r="N15" i="4" s="1"/>
  <c r="M62" i="4"/>
  <c r="N62" i="4" s="1"/>
  <c r="M74" i="4"/>
  <c r="N74" i="4" s="1"/>
  <c r="M75" i="4"/>
  <c r="N75" i="4" s="1"/>
  <c r="M14" i="4"/>
  <c r="N14" i="4" s="1"/>
  <c r="M39" i="4"/>
  <c r="N39" i="4" s="1"/>
  <c r="N48" i="4"/>
  <c r="M48" i="4"/>
  <c r="K47" i="5" s="1"/>
  <c r="M21" i="4"/>
  <c r="N21" i="4" s="1"/>
  <c r="N55" i="4"/>
  <c r="M55" i="4"/>
  <c r="K54" i="5" s="1"/>
  <c r="M65" i="4"/>
  <c r="N65" i="4" s="1"/>
  <c r="M78" i="4"/>
  <c r="N78" i="4" s="1"/>
  <c r="N53" i="4"/>
  <c r="M16" i="4"/>
  <c r="N16" i="4" s="1"/>
  <c r="M49" i="4"/>
  <c r="N49" i="4" s="1"/>
  <c r="M72" i="4"/>
  <c r="N72" i="4" s="1"/>
  <c r="M61" i="4"/>
  <c r="N61" i="4" s="1"/>
  <c r="M69" i="4"/>
  <c r="N69" i="4" s="1"/>
  <c r="F85" i="18" l="1"/>
  <c r="B90" i="13"/>
  <c r="B90" i="14"/>
  <c r="B90" i="15"/>
  <c r="B90" i="16"/>
  <c r="B90" i="17"/>
  <c r="B90" i="20"/>
  <c r="B90" i="12"/>
  <c r="B83" i="5"/>
  <c r="B90" i="18"/>
  <c r="F31" i="20"/>
  <c r="J78" i="9"/>
  <c r="J44" i="9"/>
  <c r="F33" i="19"/>
  <c r="J49" i="9"/>
  <c r="J51" i="9"/>
  <c r="F84" i="20"/>
  <c r="F40" i="20"/>
  <c r="E57" i="18"/>
  <c r="F57" i="18" s="1"/>
  <c r="J59" i="9"/>
  <c r="E27" i="18"/>
  <c r="J73" i="9"/>
  <c r="J29" i="9"/>
  <c r="J45" i="9"/>
  <c r="G32" i="18"/>
  <c r="F28" i="18"/>
  <c r="F52" i="18"/>
  <c r="H17" i="9"/>
  <c r="F76" i="18"/>
  <c r="G48" i="18"/>
  <c r="N33" i="4"/>
  <c r="N31" i="4"/>
  <c r="K18" i="5"/>
  <c r="K14" i="5"/>
  <c r="K22" i="5"/>
  <c r="H25" i="9"/>
  <c r="N22" i="4"/>
  <c r="K58" i="5"/>
  <c r="K17" i="5"/>
  <c r="K42" i="5"/>
  <c r="N51" i="4"/>
  <c r="K77" i="5"/>
  <c r="K57" i="5"/>
  <c r="K16" i="5"/>
  <c r="K24" i="5"/>
  <c r="J70" i="9"/>
  <c r="J32" i="9"/>
  <c r="J67" i="9"/>
  <c r="E60" i="16"/>
  <c r="E33" i="18"/>
  <c r="G61" i="18"/>
  <c r="F40" i="18"/>
  <c r="F79" i="18"/>
  <c r="J65" i="9"/>
  <c r="F33" i="12"/>
  <c r="F36" i="18"/>
  <c r="F44" i="18"/>
  <c r="E59" i="18"/>
  <c r="E41" i="18"/>
  <c r="G41" i="18" s="1"/>
  <c r="E28" i="16"/>
  <c r="G28" i="16" s="1"/>
  <c r="J61" i="9"/>
  <c r="J17" i="9"/>
  <c r="J68" i="9"/>
  <c r="J76" i="9"/>
  <c r="J33" i="9"/>
  <c r="E67" i="18"/>
  <c r="G67" i="18" s="1"/>
  <c r="J41" i="9"/>
  <c r="F68" i="18"/>
  <c r="E82" i="18"/>
  <c r="E65" i="18"/>
  <c r="E30" i="18"/>
  <c r="G30" i="18" s="1"/>
  <c r="J37" i="9"/>
  <c r="J80" i="9"/>
  <c r="E58" i="12"/>
  <c r="E60" i="14"/>
  <c r="F58" i="19"/>
  <c r="J58" i="9"/>
  <c r="G60" i="19"/>
  <c r="F60" i="19"/>
  <c r="G70" i="18"/>
  <c r="F70" i="18"/>
  <c r="C51" i="17"/>
  <c r="E51" i="17" s="1"/>
  <c r="I48" i="9"/>
  <c r="F42" i="9"/>
  <c r="D38" i="8" s="1"/>
  <c r="C45" i="14"/>
  <c r="E45" i="14" s="1"/>
  <c r="G49" i="9"/>
  <c r="E45" i="8" s="1"/>
  <c r="C52" i="15"/>
  <c r="E52" i="15" s="1"/>
  <c r="C51" i="16"/>
  <c r="E51" i="16" s="1"/>
  <c r="H48" i="9"/>
  <c r="C64" i="16"/>
  <c r="E64" i="16" s="1"/>
  <c r="H61" i="9"/>
  <c r="B39" i="19"/>
  <c r="E39" i="19" s="1"/>
  <c r="C36" i="9"/>
  <c r="C57" i="12"/>
  <c r="E57" i="12" s="1"/>
  <c r="D54" i="9"/>
  <c r="C84" i="12"/>
  <c r="E84" i="12" s="1"/>
  <c r="D81" i="9"/>
  <c r="B21" i="19"/>
  <c r="E21" i="19" s="1"/>
  <c r="C18" i="9"/>
  <c r="C19" i="16"/>
  <c r="E19" i="16" s="1"/>
  <c r="H16" i="9"/>
  <c r="F26" i="9"/>
  <c r="D22" i="8" s="1"/>
  <c r="C29" i="14"/>
  <c r="E29" i="14" s="1"/>
  <c r="N76" i="4"/>
  <c r="G64" i="20"/>
  <c r="G72" i="20"/>
  <c r="G84" i="20"/>
  <c r="G40" i="20"/>
  <c r="G83" i="18"/>
  <c r="F83" i="18"/>
  <c r="G19" i="18"/>
  <c r="I19" i="18" s="1"/>
  <c r="J19" i="18" s="1"/>
  <c r="I15" i="7" s="1"/>
  <c r="F19" i="18"/>
  <c r="H19" i="18" s="1"/>
  <c r="I20" i="18" s="1"/>
  <c r="J20" i="18" s="1"/>
  <c r="I16" i="7" s="1"/>
  <c r="G47" i="18"/>
  <c r="F47" i="18"/>
  <c r="G74" i="18"/>
  <c r="F74" i="18"/>
  <c r="G75" i="18"/>
  <c r="F75" i="18"/>
  <c r="G50" i="9"/>
  <c r="E46" i="8" s="1"/>
  <c r="C53" i="15"/>
  <c r="E53" i="15" s="1"/>
  <c r="K33" i="5"/>
  <c r="G58" i="9"/>
  <c r="E54" i="8" s="1"/>
  <c r="C61" i="15"/>
  <c r="E61" i="15" s="1"/>
  <c r="C80" i="12"/>
  <c r="E80" i="12" s="1"/>
  <c r="D77" i="9"/>
  <c r="C63" i="13"/>
  <c r="E63" i="13" s="1"/>
  <c r="E60" i="9"/>
  <c r="C56" i="8" s="1"/>
  <c r="F35" i="9"/>
  <c r="D31" i="8" s="1"/>
  <c r="C38" i="14"/>
  <c r="E38" i="14" s="1"/>
  <c r="B66" i="19"/>
  <c r="E66" i="19" s="1"/>
  <c r="C63" i="9"/>
  <c r="C43" i="17"/>
  <c r="E43" i="17" s="1"/>
  <c r="I40" i="9"/>
  <c r="C40" i="13"/>
  <c r="E40" i="13" s="1"/>
  <c r="E37" i="9"/>
  <c r="C33" i="8" s="1"/>
  <c r="C36" i="17"/>
  <c r="E36" i="17" s="1"/>
  <c r="I33" i="9"/>
  <c r="F20" i="9"/>
  <c r="D16" i="8" s="1"/>
  <c r="C23" i="14"/>
  <c r="E23" i="14" s="1"/>
  <c r="F28" i="9"/>
  <c r="D24" i="8" s="1"/>
  <c r="C31" i="14"/>
  <c r="E31" i="14" s="1"/>
  <c r="C45" i="16"/>
  <c r="E45" i="16" s="1"/>
  <c r="H42" i="9"/>
  <c r="C76" i="17"/>
  <c r="E76" i="17" s="1"/>
  <c r="I73" i="9"/>
  <c r="C52" i="17"/>
  <c r="E52" i="17" s="1"/>
  <c r="I49" i="9"/>
  <c r="C77" i="16"/>
  <c r="E77" i="16" s="1"/>
  <c r="H74" i="9"/>
  <c r="G59" i="9"/>
  <c r="E55" i="8" s="1"/>
  <c r="C62" i="15"/>
  <c r="E62" i="15" s="1"/>
  <c r="B26" i="19"/>
  <c r="E26" i="19" s="1"/>
  <c r="C23" i="9"/>
  <c r="G17" i="9"/>
  <c r="E13" i="8" s="1"/>
  <c r="C20" i="15"/>
  <c r="E20" i="15" s="1"/>
  <c r="C37" i="12"/>
  <c r="E37" i="12" s="1"/>
  <c r="D34" i="9"/>
  <c r="C85" i="12"/>
  <c r="E85" i="12" s="1"/>
  <c r="D82" i="9"/>
  <c r="C72" i="17"/>
  <c r="E72" i="17" s="1"/>
  <c r="I69" i="9"/>
  <c r="C48" i="17"/>
  <c r="E48" i="17" s="1"/>
  <c r="I45" i="9"/>
  <c r="G25" i="20"/>
  <c r="F56" i="9"/>
  <c r="D52" i="8" s="1"/>
  <c r="C59" i="14"/>
  <c r="E59" i="14" s="1"/>
  <c r="C64" i="17"/>
  <c r="E64" i="17" s="1"/>
  <c r="I61" i="9"/>
  <c r="B55" i="19"/>
  <c r="E55" i="19" s="1"/>
  <c r="C52" i="9"/>
  <c r="G79" i="9"/>
  <c r="E75" i="8" s="1"/>
  <c r="C82" i="15"/>
  <c r="E82" i="15" s="1"/>
  <c r="C81" i="16"/>
  <c r="E81" i="16" s="1"/>
  <c r="H78" i="9"/>
  <c r="C69" i="12"/>
  <c r="E69" i="12" s="1"/>
  <c r="D66" i="9"/>
  <c r="K70" i="5"/>
  <c r="F80" i="9"/>
  <c r="D76" i="8" s="1"/>
  <c r="C83" i="14"/>
  <c r="E83" i="14" s="1"/>
  <c r="C25" i="13"/>
  <c r="E25" i="13" s="1"/>
  <c r="E22" i="9"/>
  <c r="C18" i="8" s="1"/>
  <c r="B50" i="19"/>
  <c r="E50" i="19" s="1"/>
  <c r="C47" i="9"/>
  <c r="F43" i="9"/>
  <c r="D39" i="8" s="1"/>
  <c r="C46" i="14"/>
  <c r="E46" i="14" s="1"/>
  <c r="C47" i="13"/>
  <c r="E47" i="13" s="1"/>
  <c r="E44" i="9"/>
  <c r="C40" i="8" s="1"/>
  <c r="K20" i="5"/>
  <c r="F41" i="9"/>
  <c r="D37" i="8" s="1"/>
  <c r="C44" i="14"/>
  <c r="E44" i="14" s="1"/>
  <c r="K31" i="5"/>
  <c r="C22" i="12"/>
  <c r="E22" i="12" s="1"/>
  <c r="D19" i="9"/>
  <c r="C30" i="12"/>
  <c r="E30" i="12" s="1"/>
  <c r="D27" i="9"/>
  <c r="C74" i="16"/>
  <c r="E74" i="16" s="1"/>
  <c r="H71" i="9"/>
  <c r="C73" i="17"/>
  <c r="E73" i="17" s="1"/>
  <c r="I70" i="9"/>
  <c r="K71" i="5"/>
  <c r="K49" i="5"/>
  <c r="C68" i="16"/>
  <c r="E68" i="16" s="1"/>
  <c r="H65" i="9"/>
  <c r="C70" i="14"/>
  <c r="E70" i="14" s="1"/>
  <c r="F67" i="9"/>
  <c r="D63" i="8" s="1"/>
  <c r="C67" i="17"/>
  <c r="E67" i="17" s="1"/>
  <c r="I64" i="9"/>
  <c r="C75" i="17"/>
  <c r="E75" i="17" s="1"/>
  <c r="I72" i="9"/>
  <c r="C84" i="13"/>
  <c r="E84" i="13" s="1"/>
  <c r="E81" i="9"/>
  <c r="C77" i="8" s="1"/>
  <c r="C65" i="13"/>
  <c r="E65" i="13" s="1"/>
  <c r="E62" i="9"/>
  <c r="C58" i="8" s="1"/>
  <c r="K13" i="5"/>
  <c r="B19" i="19"/>
  <c r="E19" i="19" s="1"/>
  <c r="C16" i="9"/>
  <c r="B27" i="19"/>
  <c r="E27" i="19" s="1"/>
  <c r="C24" i="9"/>
  <c r="B35" i="19"/>
  <c r="E35" i="19" s="1"/>
  <c r="C32" i="9"/>
  <c r="G51" i="9"/>
  <c r="E47" i="8" s="1"/>
  <c r="C54" i="15"/>
  <c r="E54" i="15" s="1"/>
  <c r="C24" i="13"/>
  <c r="E24" i="13" s="1"/>
  <c r="E21" i="9"/>
  <c r="C17" i="8" s="1"/>
  <c r="C32" i="13"/>
  <c r="E32" i="13" s="1"/>
  <c r="E29" i="9"/>
  <c r="C25" i="8" s="1"/>
  <c r="C49" i="12"/>
  <c r="E49" i="12" s="1"/>
  <c r="D46" i="9"/>
  <c r="K34" i="5"/>
  <c r="C56" i="13"/>
  <c r="E56" i="13" s="1"/>
  <c r="E53" i="9"/>
  <c r="C49" i="8" s="1"/>
  <c r="F68" i="9"/>
  <c r="D64" i="8" s="1"/>
  <c r="C71" i="14"/>
  <c r="E71" i="14" s="1"/>
  <c r="C29" i="16"/>
  <c r="E29" i="16" s="1"/>
  <c r="H26" i="9"/>
  <c r="F78" i="18"/>
  <c r="G78" i="18"/>
  <c r="C80" i="13"/>
  <c r="E80" i="13" s="1"/>
  <c r="E77" i="9"/>
  <c r="C73" i="8" s="1"/>
  <c r="C55" i="17"/>
  <c r="E55" i="17" s="1"/>
  <c r="I52" i="9"/>
  <c r="G43" i="9"/>
  <c r="E39" i="8" s="1"/>
  <c r="C46" i="15"/>
  <c r="E46" i="15" s="1"/>
  <c r="G71" i="9"/>
  <c r="E67" i="8" s="1"/>
  <c r="C74" i="15"/>
  <c r="E74" i="15" s="1"/>
  <c r="C68" i="17"/>
  <c r="E68" i="17" s="1"/>
  <c r="I65" i="9"/>
  <c r="C35" i="16"/>
  <c r="E35" i="16" s="1"/>
  <c r="H32" i="9"/>
  <c r="C71" i="12"/>
  <c r="E71" i="12" s="1"/>
  <c r="D68" i="9"/>
  <c r="F64" i="20"/>
  <c r="F76" i="20"/>
  <c r="F48" i="20"/>
  <c r="G24" i="20"/>
  <c r="G32" i="20"/>
  <c r="F44" i="20"/>
  <c r="G33" i="18"/>
  <c r="F33" i="18"/>
  <c r="G59" i="18"/>
  <c r="F59" i="18"/>
  <c r="C53" i="17"/>
  <c r="E53" i="17" s="1"/>
  <c r="I50" i="9"/>
  <c r="C41" i="13"/>
  <c r="E41" i="13" s="1"/>
  <c r="E38" i="9"/>
  <c r="C34" i="8" s="1"/>
  <c r="C61" i="17"/>
  <c r="E61" i="17" s="1"/>
  <c r="I58" i="9"/>
  <c r="F77" i="9"/>
  <c r="D73" i="8" s="1"/>
  <c r="C80" i="14"/>
  <c r="E80" i="14" s="1"/>
  <c r="G60" i="9"/>
  <c r="E56" i="8" s="1"/>
  <c r="C63" i="15"/>
  <c r="E63" i="15" s="1"/>
  <c r="C38" i="16"/>
  <c r="E38" i="16" s="1"/>
  <c r="H35" i="9"/>
  <c r="C66" i="12"/>
  <c r="E66" i="12" s="1"/>
  <c r="D63" i="9"/>
  <c r="K35" i="5"/>
  <c r="C40" i="12"/>
  <c r="E40" i="12" s="1"/>
  <c r="D37" i="9"/>
  <c r="C36" i="16"/>
  <c r="E36" i="16" s="1"/>
  <c r="H33" i="9"/>
  <c r="C23" i="13"/>
  <c r="E23" i="13" s="1"/>
  <c r="E20" i="9"/>
  <c r="C16" i="8" s="1"/>
  <c r="C31" i="13"/>
  <c r="E31" i="13" s="1"/>
  <c r="E28" i="9"/>
  <c r="C24" i="8" s="1"/>
  <c r="G42" i="9"/>
  <c r="E38" i="8" s="1"/>
  <c r="C45" i="15"/>
  <c r="E45" i="15" s="1"/>
  <c r="C76" i="16"/>
  <c r="E76" i="16" s="1"/>
  <c r="H73" i="9"/>
  <c r="C52" i="16"/>
  <c r="E52" i="16" s="1"/>
  <c r="H49" i="9"/>
  <c r="G74" i="9"/>
  <c r="E70" i="8" s="1"/>
  <c r="C77" i="15"/>
  <c r="E77" i="15" s="1"/>
  <c r="C62" i="14"/>
  <c r="E62" i="14" s="1"/>
  <c r="F59" i="9"/>
  <c r="D55" i="8" s="1"/>
  <c r="G51" i="12"/>
  <c r="F51" i="12"/>
  <c r="C26" i="12"/>
  <c r="E26" i="12" s="1"/>
  <c r="D23" i="9"/>
  <c r="C37" i="13"/>
  <c r="E37" i="13" s="1"/>
  <c r="E34" i="9"/>
  <c r="C30" i="8" s="1"/>
  <c r="C85" i="13"/>
  <c r="E85" i="13" s="1"/>
  <c r="E82" i="9"/>
  <c r="C78" i="8" s="1"/>
  <c r="B72" i="19"/>
  <c r="E72" i="19" s="1"/>
  <c r="C69" i="9"/>
  <c r="B48" i="19"/>
  <c r="E48" i="19" s="1"/>
  <c r="C45" i="9"/>
  <c r="G56" i="9"/>
  <c r="E52" i="8" s="1"/>
  <c r="C59" i="15"/>
  <c r="E59" i="15" s="1"/>
  <c r="B64" i="19"/>
  <c r="E64" i="19" s="1"/>
  <c r="C61" i="9"/>
  <c r="C82" i="16"/>
  <c r="E82" i="16" s="1"/>
  <c r="H79" i="9"/>
  <c r="C81" i="17"/>
  <c r="E81" i="17" s="1"/>
  <c r="I78" i="9"/>
  <c r="C69" i="13"/>
  <c r="E69" i="13" s="1"/>
  <c r="E66" i="9"/>
  <c r="C62" i="8" s="1"/>
  <c r="C78" i="12"/>
  <c r="E78" i="12" s="1"/>
  <c r="D75" i="9"/>
  <c r="C83" i="15"/>
  <c r="E83" i="15" s="1"/>
  <c r="G80" i="9"/>
  <c r="E76" i="8" s="1"/>
  <c r="F22" i="9"/>
  <c r="D18" i="8" s="1"/>
  <c r="C25" i="14"/>
  <c r="E25" i="14" s="1"/>
  <c r="C28" i="12"/>
  <c r="E28" i="12" s="1"/>
  <c r="D25" i="9"/>
  <c r="C50" i="12"/>
  <c r="E50" i="12" s="1"/>
  <c r="D47" i="9"/>
  <c r="C46" i="16"/>
  <c r="E46" i="16" s="1"/>
  <c r="H43" i="9"/>
  <c r="G44" i="9"/>
  <c r="E40" i="8" s="1"/>
  <c r="C47" i="15"/>
  <c r="E47" i="15" s="1"/>
  <c r="F30" i="9"/>
  <c r="D26" i="8" s="1"/>
  <c r="C33" i="14"/>
  <c r="E33" i="14" s="1"/>
  <c r="G41" i="9"/>
  <c r="E37" i="8" s="1"/>
  <c r="C44" i="15"/>
  <c r="E44" i="15" s="1"/>
  <c r="C39" i="12"/>
  <c r="E39" i="12" s="1"/>
  <c r="D36" i="9"/>
  <c r="C22" i="13"/>
  <c r="E22" i="13" s="1"/>
  <c r="E19" i="9"/>
  <c r="C15" i="8" s="1"/>
  <c r="C30" i="13"/>
  <c r="E30" i="13" s="1"/>
  <c r="E27" i="9"/>
  <c r="C23" i="8" s="1"/>
  <c r="C74" i="17"/>
  <c r="E74" i="17" s="1"/>
  <c r="I71" i="9"/>
  <c r="B73" i="19"/>
  <c r="E73" i="19" s="1"/>
  <c r="C70" i="9"/>
  <c r="C79" i="12"/>
  <c r="E79" i="12" s="1"/>
  <c r="D76" i="9"/>
  <c r="F41" i="20"/>
  <c r="C57" i="13"/>
  <c r="E57" i="13" s="1"/>
  <c r="E54" i="9"/>
  <c r="C50" i="8" s="1"/>
  <c r="B68" i="19"/>
  <c r="E68" i="19" s="1"/>
  <c r="C65" i="9"/>
  <c r="C70" i="16"/>
  <c r="E70" i="16" s="1"/>
  <c r="H67" i="9"/>
  <c r="K59" i="5"/>
  <c r="K67" i="5"/>
  <c r="F81" i="9"/>
  <c r="D77" i="8" s="1"/>
  <c r="C84" i="14"/>
  <c r="E84" i="14" s="1"/>
  <c r="F62" i="9"/>
  <c r="D58" i="8" s="1"/>
  <c r="C65" i="14"/>
  <c r="E65" i="14" s="1"/>
  <c r="G41" i="20"/>
  <c r="C21" i="12"/>
  <c r="E21" i="12" s="1"/>
  <c r="D18" i="9"/>
  <c r="C19" i="17"/>
  <c r="E19" i="17" s="1"/>
  <c r="I16" i="9"/>
  <c r="C27" i="17"/>
  <c r="E27" i="17" s="1"/>
  <c r="I24" i="9"/>
  <c r="C35" i="17"/>
  <c r="E35" i="17" s="1"/>
  <c r="I32" i="9"/>
  <c r="F51" i="9"/>
  <c r="D47" i="8" s="1"/>
  <c r="C54" i="14"/>
  <c r="E54" i="14" s="1"/>
  <c r="C24" i="12"/>
  <c r="E24" i="12" s="1"/>
  <c r="D21" i="9"/>
  <c r="C32" i="12"/>
  <c r="E32" i="12" s="1"/>
  <c r="D29" i="9"/>
  <c r="K41" i="5"/>
  <c r="B42" i="19"/>
  <c r="E42" i="19" s="1"/>
  <c r="C39" i="9"/>
  <c r="C56" i="12"/>
  <c r="E56" i="12" s="1"/>
  <c r="D53" i="9"/>
  <c r="C71" i="13"/>
  <c r="E71" i="13" s="1"/>
  <c r="E68" i="9"/>
  <c r="C64" i="8" s="1"/>
  <c r="G26" i="9"/>
  <c r="E22" i="8" s="1"/>
  <c r="C29" i="15"/>
  <c r="E29" i="15" s="1"/>
  <c r="D53" i="8"/>
  <c r="N26" i="4"/>
  <c r="K25" i="5"/>
  <c r="G62" i="18"/>
  <c r="F62" i="18"/>
  <c r="F60" i="9"/>
  <c r="D56" i="8" s="1"/>
  <c r="C63" i="14"/>
  <c r="E63" i="14" s="1"/>
  <c r="C23" i="12"/>
  <c r="E23" i="12" s="1"/>
  <c r="D20" i="9"/>
  <c r="F44" i="9"/>
  <c r="D40" i="8" s="1"/>
  <c r="C47" i="14"/>
  <c r="E47" i="14" s="1"/>
  <c r="B49" i="19"/>
  <c r="E49" i="19" s="1"/>
  <c r="C46" i="9"/>
  <c r="H20" i="18"/>
  <c r="I21" i="18" s="1"/>
  <c r="J21" i="18" s="1"/>
  <c r="I17" i="7" s="1"/>
  <c r="G76" i="20"/>
  <c r="G48" i="20"/>
  <c r="F24" i="20"/>
  <c r="F32" i="20"/>
  <c r="G44" i="20"/>
  <c r="G42" i="18"/>
  <c r="F42" i="18"/>
  <c r="G46" i="18"/>
  <c r="F46" i="18"/>
  <c r="G73" i="18"/>
  <c r="F73" i="18"/>
  <c r="G43" i="18"/>
  <c r="F43" i="18"/>
  <c r="F27" i="18"/>
  <c r="G27" i="18"/>
  <c r="B53" i="19"/>
  <c r="E53" i="19" s="1"/>
  <c r="C50" i="9"/>
  <c r="F38" i="9"/>
  <c r="D34" i="8" s="1"/>
  <c r="C41" i="14"/>
  <c r="E41" i="14" s="1"/>
  <c r="B61" i="19"/>
  <c r="E61" i="19" s="1"/>
  <c r="C58" i="9"/>
  <c r="G77" i="9"/>
  <c r="E73" i="8" s="1"/>
  <c r="C80" i="15"/>
  <c r="E80" i="15" s="1"/>
  <c r="C63" i="16"/>
  <c r="E63" i="16" s="1"/>
  <c r="H60" i="9"/>
  <c r="C38" i="17"/>
  <c r="E38" i="17" s="1"/>
  <c r="I35" i="9"/>
  <c r="C66" i="13"/>
  <c r="E66" i="13" s="1"/>
  <c r="E63" i="9"/>
  <c r="C59" i="8" s="1"/>
  <c r="C43" i="12"/>
  <c r="E43" i="12" s="1"/>
  <c r="D40" i="9"/>
  <c r="B20" i="19"/>
  <c r="E20" i="19" s="1"/>
  <c r="C17" i="9"/>
  <c r="F37" i="9"/>
  <c r="D33" i="8" s="1"/>
  <c r="C40" i="14"/>
  <c r="E40" i="14" s="1"/>
  <c r="B36" i="19"/>
  <c r="E36" i="19" s="1"/>
  <c r="C33" i="9"/>
  <c r="G20" i="9"/>
  <c r="E16" i="8" s="1"/>
  <c r="C23" i="15"/>
  <c r="E23" i="15" s="1"/>
  <c r="G28" i="9"/>
  <c r="E24" i="8" s="1"/>
  <c r="C31" i="15"/>
  <c r="E31" i="15" s="1"/>
  <c r="C45" i="17"/>
  <c r="E45" i="17" s="1"/>
  <c r="I42" i="9"/>
  <c r="B76" i="19"/>
  <c r="E76" i="19" s="1"/>
  <c r="C73" i="9"/>
  <c r="B52" i="19"/>
  <c r="E52" i="19" s="1"/>
  <c r="C49" i="9"/>
  <c r="C77" i="17"/>
  <c r="E77" i="17" s="1"/>
  <c r="I74" i="9"/>
  <c r="C62" i="16"/>
  <c r="E62" i="16" s="1"/>
  <c r="H59" i="9"/>
  <c r="C26" i="13"/>
  <c r="E26" i="13" s="1"/>
  <c r="E23" i="9"/>
  <c r="C19" i="8" s="1"/>
  <c r="F34" i="9"/>
  <c r="D30" i="8" s="1"/>
  <c r="C37" i="14"/>
  <c r="E37" i="14" s="1"/>
  <c r="F82" i="9"/>
  <c r="D78" i="8" s="1"/>
  <c r="C85" i="14"/>
  <c r="E85" i="14" s="1"/>
  <c r="K64" i="5"/>
  <c r="K40" i="5"/>
  <c r="C28" i="13"/>
  <c r="E28" i="13" s="1"/>
  <c r="E25" i="9"/>
  <c r="C21" i="8" s="1"/>
  <c r="G73" i="20"/>
  <c r="C59" i="16"/>
  <c r="E59" i="16" s="1"/>
  <c r="H56" i="9"/>
  <c r="K56" i="5"/>
  <c r="C55" i="12"/>
  <c r="E55" i="12" s="1"/>
  <c r="D52" i="9"/>
  <c r="C82" i="17"/>
  <c r="E82" i="17" s="1"/>
  <c r="I79" i="9"/>
  <c r="B81" i="19"/>
  <c r="E81" i="19" s="1"/>
  <c r="C78" i="9"/>
  <c r="F66" i="9"/>
  <c r="D62" i="8" s="1"/>
  <c r="C69" i="14"/>
  <c r="E69" i="14" s="1"/>
  <c r="C78" i="13"/>
  <c r="E78" i="13" s="1"/>
  <c r="E75" i="9"/>
  <c r="C71" i="8" s="1"/>
  <c r="C83" i="16"/>
  <c r="E83" i="16" s="1"/>
  <c r="H80" i="9"/>
  <c r="G22" i="9"/>
  <c r="E18" i="8" s="1"/>
  <c r="C25" i="15"/>
  <c r="E25" i="15" s="1"/>
  <c r="G30" i="9"/>
  <c r="E26" i="8" s="1"/>
  <c r="C33" i="15"/>
  <c r="E33" i="15" s="1"/>
  <c r="C50" i="13"/>
  <c r="E50" i="13" s="1"/>
  <c r="E47" i="9"/>
  <c r="C43" i="8" s="1"/>
  <c r="C46" i="17"/>
  <c r="E46" i="17" s="1"/>
  <c r="I43" i="9"/>
  <c r="C47" i="16"/>
  <c r="E47" i="16" s="1"/>
  <c r="H44" i="9"/>
  <c r="F48" i="9"/>
  <c r="D44" i="8" s="1"/>
  <c r="C51" i="14"/>
  <c r="E51" i="14" s="1"/>
  <c r="F55" i="9"/>
  <c r="D51" i="8" s="1"/>
  <c r="C58" i="14"/>
  <c r="E58" i="14" s="1"/>
  <c r="C44" i="17"/>
  <c r="E44" i="17" s="1"/>
  <c r="I41" i="9"/>
  <c r="F36" i="9"/>
  <c r="D32" i="8" s="1"/>
  <c r="C39" i="14"/>
  <c r="E39" i="14" s="1"/>
  <c r="G19" i="9"/>
  <c r="E15" i="8" s="1"/>
  <c r="C22" i="15"/>
  <c r="E22" i="15" s="1"/>
  <c r="G27" i="9"/>
  <c r="E23" i="8" s="1"/>
  <c r="C30" i="15"/>
  <c r="E30" i="15" s="1"/>
  <c r="K66" i="5"/>
  <c r="C73" i="12"/>
  <c r="E73" i="12" s="1"/>
  <c r="D70" i="9"/>
  <c r="F76" i="9"/>
  <c r="D72" i="8" s="1"/>
  <c r="C79" i="14"/>
  <c r="E79" i="14" s="1"/>
  <c r="B28" i="19"/>
  <c r="E28" i="19" s="1"/>
  <c r="C25" i="9"/>
  <c r="F54" i="9"/>
  <c r="D50" i="8" s="1"/>
  <c r="C57" i="14"/>
  <c r="E57" i="14" s="1"/>
  <c r="K60" i="5"/>
  <c r="C70" i="17"/>
  <c r="E70" i="17" s="1"/>
  <c r="I67" i="9"/>
  <c r="C67" i="12"/>
  <c r="E67" i="12" s="1"/>
  <c r="D64" i="9"/>
  <c r="C75" i="12"/>
  <c r="E75" i="12" s="1"/>
  <c r="D72" i="9"/>
  <c r="K43" i="5"/>
  <c r="G81" i="9"/>
  <c r="E77" i="8" s="1"/>
  <c r="C84" i="15"/>
  <c r="E84" i="15" s="1"/>
  <c r="G62" i="9"/>
  <c r="E58" i="8" s="1"/>
  <c r="C65" i="15"/>
  <c r="E65" i="15" s="1"/>
  <c r="G28" i="15"/>
  <c r="F28" i="15"/>
  <c r="C21" i="13"/>
  <c r="E21" i="13" s="1"/>
  <c r="E18" i="9"/>
  <c r="C14" i="8" s="1"/>
  <c r="K19" i="5"/>
  <c r="K27" i="5"/>
  <c r="C54" i="16"/>
  <c r="E54" i="16" s="1"/>
  <c r="H51" i="9"/>
  <c r="F21" i="9"/>
  <c r="D17" i="8" s="1"/>
  <c r="C24" i="14"/>
  <c r="E24" i="14" s="1"/>
  <c r="F29" i="9"/>
  <c r="D25" i="8" s="1"/>
  <c r="C32" i="14"/>
  <c r="E32" i="14" s="1"/>
  <c r="C49" i="13"/>
  <c r="E49" i="13" s="1"/>
  <c r="E46" i="9"/>
  <c r="C42" i="8" s="1"/>
  <c r="C42" i="12"/>
  <c r="E42" i="12" s="1"/>
  <c r="D39" i="9"/>
  <c r="F53" i="9"/>
  <c r="D49" i="8" s="1"/>
  <c r="C56" i="14"/>
  <c r="E56" i="14" s="1"/>
  <c r="G68" i="9"/>
  <c r="E64" i="8" s="1"/>
  <c r="C71" i="15"/>
  <c r="E71" i="15" s="1"/>
  <c r="C29" i="17"/>
  <c r="E29" i="17" s="1"/>
  <c r="I26" i="9"/>
  <c r="F73" i="20"/>
  <c r="F31" i="18"/>
  <c r="G31" i="18"/>
  <c r="C41" i="12"/>
  <c r="E41" i="12" s="1"/>
  <c r="D38" i="9"/>
  <c r="B43" i="19"/>
  <c r="E43" i="19" s="1"/>
  <c r="C40" i="9"/>
  <c r="C60" i="13"/>
  <c r="E60" i="13" s="1"/>
  <c r="E57" i="9"/>
  <c r="F74" i="9"/>
  <c r="D70" i="8" s="1"/>
  <c r="C77" i="14"/>
  <c r="E77" i="14" s="1"/>
  <c r="C48" i="16"/>
  <c r="E48" i="16" s="1"/>
  <c r="H45" i="9"/>
  <c r="G78" i="9"/>
  <c r="E74" i="8" s="1"/>
  <c r="C81" i="15"/>
  <c r="E81" i="15" s="1"/>
  <c r="K48" i="5"/>
  <c r="N66" i="4"/>
  <c r="N37" i="4"/>
  <c r="F68" i="20"/>
  <c r="G23" i="20"/>
  <c r="F36" i="20"/>
  <c r="F52" i="20"/>
  <c r="F55" i="18"/>
  <c r="G55" i="18"/>
  <c r="F58" i="18"/>
  <c r="G58" i="18"/>
  <c r="G26" i="18"/>
  <c r="F26" i="18"/>
  <c r="K45" i="5"/>
  <c r="G38" i="9"/>
  <c r="E34" i="8" s="1"/>
  <c r="C41" i="15"/>
  <c r="E41" i="15" s="1"/>
  <c r="K53" i="5"/>
  <c r="C80" i="16"/>
  <c r="E80" i="16" s="1"/>
  <c r="H77" i="9"/>
  <c r="C63" i="17"/>
  <c r="E63" i="17" s="1"/>
  <c r="I60" i="9"/>
  <c r="B38" i="19"/>
  <c r="E38" i="19" s="1"/>
  <c r="C35" i="9"/>
  <c r="F63" i="9"/>
  <c r="D59" i="8" s="1"/>
  <c r="C66" i="14"/>
  <c r="E66" i="14" s="1"/>
  <c r="C43" i="13"/>
  <c r="E43" i="13" s="1"/>
  <c r="E40" i="9"/>
  <c r="C36" i="8" s="1"/>
  <c r="G37" i="9"/>
  <c r="E33" i="8" s="1"/>
  <c r="C40" i="15"/>
  <c r="E40" i="15" s="1"/>
  <c r="G49" i="20"/>
  <c r="K28" i="5"/>
  <c r="C23" i="16"/>
  <c r="E23" i="16" s="1"/>
  <c r="H20" i="9"/>
  <c r="C31" i="16"/>
  <c r="E31" i="16" s="1"/>
  <c r="H28" i="9"/>
  <c r="B45" i="19"/>
  <c r="E45" i="19" s="1"/>
  <c r="C42" i="9"/>
  <c r="K68" i="5"/>
  <c r="K44" i="5"/>
  <c r="B77" i="19"/>
  <c r="E77" i="19" s="1"/>
  <c r="C74" i="9"/>
  <c r="C62" i="17"/>
  <c r="E62" i="17" s="1"/>
  <c r="I59" i="9"/>
  <c r="F25" i="9"/>
  <c r="D21" i="8" s="1"/>
  <c r="C28" i="14"/>
  <c r="E28" i="14" s="1"/>
  <c r="F23" i="9"/>
  <c r="D19" i="8" s="1"/>
  <c r="C26" i="14"/>
  <c r="E26" i="14" s="1"/>
  <c r="G60" i="12"/>
  <c r="F60" i="12"/>
  <c r="C37" i="16"/>
  <c r="E37" i="16" s="1"/>
  <c r="H34" i="9"/>
  <c r="C85" i="16"/>
  <c r="E85" i="16" s="1"/>
  <c r="H82" i="9"/>
  <c r="C72" i="13"/>
  <c r="E72" i="13" s="1"/>
  <c r="E69" i="9"/>
  <c r="C65" i="8" s="1"/>
  <c r="C48" i="13"/>
  <c r="E48" i="13" s="1"/>
  <c r="E45" i="9"/>
  <c r="C41" i="8" s="1"/>
  <c r="G60" i="15"/>
  <c r="F60" i="15"/>
  <c r="C33" i="16"/>
  <c r="E33" i="16" s="1"/>
  <c r="H30" i="9"/>
  <c r="B59" i="19"/>
  <c r="E59" i="19" s="1"/>
  <c r="C56" i="9"/>
  <c r="C64" i="13"/>
  <c r="E64" i="13" s="1"/>
  <c r="E61" i="9"/>
  <c r="C57" i="8" s="1"/>
  <c r="F52" i="9"/>
  <c r="D48" i="8" s="1"/>
  <c r="C55" i="14"/>
  <c r="E55" i="14" s="1"/>
  <c r="K74" i="5"/>
  <c r="C81" i="12"/>
  <c r="E81" i="12" s="1"/>
  <c r="D78" i="9"/>
  <c r="C69" i="16"/>
  <c r="E69" i="16" s="1"/>
  <c r="H66" i="9"/>
  <c r="G75" i="9"/>
  <c r="E71" i="8" s="1"/>
  <c r="C78" i="15"/>
  <c r="E78" i="15" s="1"/>
  <c r="B83" i="19"/>
  <c r="E83" i="19" s="1"/>
  <c r="C80" i="9"/>
  <c r="C25" i="16"/>
  <c r="E25" i="16" s="1"/>
  <c r="H22" i="9"/>
  <c r="G55" i="9"/>
  <c r="E51" i="8" s="1"/>
  <c r="C58" i="15"/>
  <c r="E58" i="15" s="1"/>
  <c r="F47" i="9"/>
  <c r="D43" i="8" s="1"/>
  <c r="C50" i="14"/>
  <c r="E50" i="14" s="1"/>
  <c r="B46" i="19"/>
  <c r="E46" i="19" s="1"/>
  <c r="C43" i="9"/>
  <c r="C47" i="17"/>
  <c r="E47" i="17" s="1"/>
  <c r="I44" i="9"/>
  <c r="G31" i="9"/>
  <c r="E27" i="8" s="1"/>
  <c r="C34" i="15"/>
  <c r="E34" i="15" s="1"/>
  <c r="C44" i="16"/>
  <c r="E44" i="16" s="1"/>
  <c r="H41" i="9"/>
  <c r="C39" i="13"/>
  <c r="E39" i="13" s="1"/>
  <c r="E36" i="9"/>
  <c r="C32" i="8" s="1"/>
  <c r="F19" i="9"/>
  <c r="D15" i="8" s="1"/>
  <c r="C22" i="14"/>
  <c r="E22" i="14" s="1"/>
  <c r="F27" i="9"/>
  <c r="D23" i="8" s="1"/>
  <c r="C30" i="14"/>
  <c r="E30" i="14" s="1"/>
  <c r="B74" i="19"/>
  <c r="E74" i="19" s="1"/>
  <c r="C71" i="9"/>
  <c r="C79" i="13"/>
  <c r="E79" i="13" s="1"/>
  <c r="E76" i="9"/>
  <c r="C72" i="8" s="1"/>
  <c r="C33" i="13"/>
  <c r="E33" i="13" s="1"/>
  <c r="E30" i="9"/>
  <c r="C26" i="8" s="1"/>
  <c r="G54" i="9"/>
  <c r="E50" i="8" s="1"/>
  <c r="C57" i="15"/>
  <c r="E57" i="15" s="1"/>
  <c r="C68" i="12"/>
  <c r="E68" i="12" s="1"/>
  <c r="D65" i="9"/>
  <c r="B70" i="19"/>
  <c r="E70" i="19" s="1"/>
  <c r="C67" i="9"/>
  <c r="C67" i="13"/>
  <c r="E67" i="13" s="1"/>
  <c r="E64" i="9"/>
  <c r="C60" i="8" s="1"/>
  <c r="C75" i="13"/>
  <c r="E75" i="13" s="1"/>
  <c r="E72" i="9"/>
  <c r="C68" i="8" s="1"/>
  <c r="C84" i="17"/>
  <c r="E84" i="17" s="1"/>
  <c r="I81" i="9"/>
  <c r="C65" i="16"/>
  <c r="E65" i="16" s="1"/>
  <c r="H62" i="9"/>
  <c r="E21" i="8"/>
  <c r="F18" i="9"/>
  <c r="D14" i="8" s="1"/>
  <c r="C21" i="14"/>
  <c r="E21" i="14" s="1"/>
  <c r="C19" i="12"/>
  <c r="E19" i="12" s="1"/>
  <c r="D16" i="9"/>
  <c r="C27" i="12"/>
  <c r="E27" i="12" s="1"/>
  <c r="D24" i="9"/>
  <c r="C35" i="12"/>
  <c r="E35" i="12" s="1"/>
  <c r="D32" i="9"/>
  <c r="C54" i="17"/>
  <c r="E54" i="17" s="1"/>
  <c r="I51" i="9"/>
  <c r="G21" i="9"/>
  <c r="E17" i="8" s="1"/>
  <c r="C24" i="15"/>
  <c r="E24" i="15" s="1"/>
  <c r="G29" i="9"/>
  <c r="E25" i="8" s="1"/>
  <c r="C32" i="15"/>
  <c r="E32" i="15" s="1"/>
  <c r="F46" i="9"/>
  <c r="D42" i="8" s="1"/>
  <c r="C49" i="14"/>
  <c r="E49" i="14" s="1"/>
  <c r="C42" i="13"/>
  <c r="E42" i="13" s="1"/>
  <c r="E39" i="9"/>
  <c r="C35" i="8" s="1"/>
  <c r="G53" i="9"/>
  <c r="E49" i="8" s="1"/>
  <c r="C56" i="15"/>
  <c r="E56" i="15" s="1"/>
  <c r="C71" i="16"/>
  <c r="E71" i="16" s="1"/>
  <c r="H68" i="9"/>
  <c r="B29" i="19"/>
  <c r="E29" i="19" s="1"/>
  <c r="C26" i="9"/>
  <c r="C31" i="12"/>
  <c r="E31" i="12" s="1"/>
  <c r="D28" i="9"/>
  <c r="F79" i="9"/>
  <c r="D75" i="8" s="1"/>
  <c r="C82" i="14"/>
  <c r="E82" i="14" s="1"/>
  <c r="B78" i="19"/>
  <c r="E78" i="19" s="1"/>
  <c r="C75" i="9"/>
  <c r="B79" i="19"/>
  <c r="E79" i="19" s="1"/>
  <c r="C76" i="9"/>
  <c r="G67" i="9"/>
  <c r="E63" i="8" s="1"/>
  <c r="C70" i="15"/>
  <c r="E70" i="15" s="1"/>
  <c r="F34" i="20"/>
  <c r="F42" i="20"/>
  <c r="G22" i="20"/>
  <c r="F63" i="20"/>
  <c r="F58" i="20"/>
  <c r="G46" i="20"/>
  <c r="G61" i="20"/>
  <c r="F57" i="20"/>
  <c r="F59" i="20"/>
  <c r="G42" i="20"/>
  <c r="G58" i="20"/>
  <c r="F77" i="20"/>
  <c r="G39" i="20"/>
  <c r="G51" i="20"/>
  <c r="F47" i="20"/>
  <c r="F55" i="20"/>
  <c r="F22" i="20"/>
  <c r="G63" i="20"/>
  <c r="G30" i="20"/>
  <c r="F71" i="20"/>
  <c r="F46" i="20"/>
  <c r="F61" i="20"/>
  <c r="F65" i="20"/>
  <c r="G34" i="20"/>
  <c r="F43" i="20"/>
  <c r="G82" i="20"/>
  <c r="F51" i="20"/>
  <c r="G47" i="20"/>
  <c r="G55" i="20"/>
  <c r="G27" i="20"/>
  <c r="G65" i="20"/>
  <c r="F30" i="20"/>
  <c r="G71" i="20"/>
  <c r="G69" i="20"/>
  <c r="G66" i="20"/>
  <c r="F50" i="20"/>
  <c r="F82" i="20"/>
  <c r="G62" i="20"/>
  <c r="G74" i="20"/>
  <c r="G70" i="20"/>
  <c r="G19" i="20"/>
  <c r="I19" i="20" s="1"/>
  <c r="J19" i="20" s="1"/>
  <c r="K15" i="7" s="1"/>
  <c r="G57" i="20"/>
  <c r="F27" i="20"/>
  <c r="G35" i="20"/>
  <c r="F69" i="20"/>
  <c r="F66" i="20"/>
  <c r="F81" i="20"/>
  <c r="G54" i="20"/>
  <c r="G21" i="20"/>
  <c r="F62" i="20"/>
  <c r="F74" i="20"/>
  <c r="F70" i="20"/>
  <c r="F19" i="20"/>
  <c r="H19" i="20" s="1"/>
  <c r="G78" i="20"/>
  <c r="G45" i="20"/>
  <c r="F35" i="20"/>
  <c r="G38" i="20"/>
  <c r="F25" i="20"/>
  <c r="F54" i="20"/>
  <c r="F21" i="20"/>
  <c r="G67" i="20"/>
  <c r="G29" i="20"/>
  <c r="G75" i="20"/>
  <c r="G37" i="20"/>
  <c r="F78" i="20"/>
  <c r="F45" i="20"/>
  <c r="G53" i="20"/>
  <c r="F38" i="20"/>
  <c r="F33" i="20"/>
  <c r="G59" i="20"/>
  <c r="G26" i="20"/>
  <c r="F67" i="20"/>
  <c r="F29" i="20"/>
  <c r="F75" i="20"/>
  <c r="F37" i="20"/>
  <c r="G83" i="20"/>
  <c r="G50" i="20"/>
  <c r="F53" i="20"/>
  <c r="G43" i="20"/>
  <c r="F26" i="20"/>
  <c r="F83" i="20"/>
  <c r="F49" i="20"/>
  <c r="C27" i="16"/>
  <c r="E27" i="16" s="1"/>
  <c r="H24" i="9"/>
  <c r="F60" i="20"/>
  <c r="G68" i="20"/>
  <c r="F23" i="20"/>
  <c r="G36" i="20"/>
  <c r="G52" i="20"/>
  <c r="F71" i="18"/>
  <c r="G71" i="18"/>
  <c r="F23" i="18"/>
  <c r="G23" i="18"/>
  <c r="F25" i="18"/>
  <c r="G25" i="18"/>
  <c r="F39" i="18"/>
  <c r="G39" i="18"/>
  <c r="G54" i="18"/>
  <c r="F54" i="18"/>
  <c r="C53" i="12"/>
  <c r="E53" i="12" s="1"/>
  <c r="D50" i="9"/>
  <c r="C41" i="16"/>
  <c r="E41" i="16" s="1"/>
  <c r="H38" i="9"/>
  <c r="C61" i="12"/>
  <c r="E61" i="12" s="1"/>
  <c r="D58" i="9"/>
  <c r="C80" i="17"/>
  <c r="E80" i="17" s="1"/>
  <c r="I77" i="9"/>
  <c r="B63" i="19"/>
  <c r="E63" i="19" s="1"/>
  <c r="C60" i="9"/>
  <c r="G63" i="9"/>
  <c r="E59" i="8" s="1"/>
  <c r="C66" i="15"/>
  <c r="E66" i="15" s="1"/>
  <c r="F40" i="9"/>
  <c r="D36" i="8" s="1"/>
  <c r="C43" i="14"/>
  <c r="E43" i="14" s="1"/>
  <c r="C40" i="16"/>
  <c r="E40" i="16" s="1"/>
  <c r="H37" i="9"/>
  <c r="G81" i="20"/>
  <c r="C36" i="12"/>
  <c r="E36" i="12" s="1"/>
  <c r="D33" i="9"/>
  <c r="C23" i="17"/>
  <c r="E23" i="17" s="1"/>
  <c r="I20" i="9"/>
  <c r="C31" i="17"/>
  <c r="E31" i="17" s="1"/>
  <c r="I28" i="9"/>
  <c r="C76" i="12"/>
  <c r="E76" i="12" s="1"/>
  <c r="D73" i="9"/>
  <c r="C52" i="12"/>
  <c r="E52" i="12" s="1"/>
  <c r="D49" i="9"/>
  <c r="B62" i="19"/>
  <c r="E62" i="19" s="1"/>
  <c r="C59" i="9"/>
  <c r="C33" i="17"/>
  <c r="E33" i="17" s="1"/>
  <c r="I30" i="9"/>
  <c r="G23" i="9"/>
  <c r="E19" i="8" s="1"/>
  <c r="C26" i="15"/>
  <c r="E26" i="15" s="1"/>
  <c r="G34" i="9"/>
  <c r="E30" i="8" s="1"/>
  <c r="C37" i="15"/>
  <c r="E37" i="15" s="1"/>
  <c r="G82" i="9"/>
  <c r="E78" i="8" s="1"/>
  <c r="C85" i="15"/>
  <c r="E85" i="15" s="1"/>
  <c r="C72" i="12"/>
  <c r="E72" i="12" s="1"/>
  <c r="D69" i="9"/>
  <c r="C48" i="12"/>
  <c r="E48" i="12" s="1"/>
  <c r="D45" i="9"/>
  <c r="C58" i="16"/>
  <c r="E58" i="16" s="1"/>
  <c r="H55" i="9"/>
  <c r="C59" i="17"/>
  <c r="E59" i="17" s="1"/>
  <c r="I56" i="9"/>
  <c r="C64" i="12"/>
  <c r="E64" i="12" s="1"/>
  <c r="D61" i="9"/>
  <c r="C55" i="13"/>
  <c r="E55" i="13" s="1"/>
  <c r="E52" i="9"/>
  <c r="C48" i="8" s="1"/>
  <c r="B82" i="19"/>
  <c r="E82" i="19" s="1"/>
  <c r="C79" i="9"/>
  <c r="K73" i="5"/>
  <c r="G66" i="9"/>
  <c r="E62" i="8" s="1"/>
  <c r="C69" i="15"/>
  <c r="E69" i="15" s="1"/>
  <c r="F75" i="9"/>
  <c r="D71" i="8" s="1"/>
  <c r="C78" i="14"/>
  <c r="E78" i="14" s="1"/>
  <c r="C83" i="17"/>
  <c r="E83" i="17" s="1"/>
  <c r="I80" i="9"/>
  <c r="C25" i="17"/>
  <c r="E25" i="17" s="1"/>
  <c r="I22" i="9"/>
  <c r="C34" i="16"/>
  <c r="E34" i="16" s="1"/>
  <c r="H31" i="9"/>
  <c r="G47" i="9"/>
  <c r="E43" i="8" s="1"/>
  <c r="C50" i="15"/>
  <c r="E50" i="15" s="1"/>
  <c r="K38" i="5"/>
  <c r="B47" i="19"/>
  <c r="E47" i="19" s="1"/>
  <c r="C44" i="9"/>
  <c r="C20" i="12"/>
  <c r="E20" i="12" s="1"/>
  <c r="D17" i="9"/>
  <c r="B44" i="19"/>
  <c r="E44" i="19" s="1"/>
  <c r="C41" i="9"/>
  <c r="G36" i="9"/>
  <c r="E32" i="8" s="1"/>
  <c r="C39" i="15"/>
  <c r="E39" i="15" s="1"/>
  <c r="C22" i="16"/>
  <c r="E22" i="16" s="1"/>
  <c r="H19" i="9"/>
  <c r="C30" i="16"/>
  <c r="E30" i="16" s="1"/>
  <c r="H27" i="9"/>
  <c r="C74" i="12"/>
  <c r="E74" i="12" s="1"/>
  <c r="D71" i="9"/>
  <c r="C73" i="13"/>
  <c r="E73" i="13" s="1"/>
  <c r="E70" i="9"/>
  <c r="C66" i="8" s="1"/>
  <c r="G76" i="9"/>
  <c r="E72" i="8" s="1"/>
  <c r="C79" i="15"/>
  <c r="E79" i="15" s="1"/>
  <c r="C58" i="13"/>
  <c r="E58" i="13" s="1"/>
  <c r="E55" i="9"/>
  <c r="C57" i="16"/>
  <c r="E57" i="16" s="1"/>
  <c r="H54" i="9"/>
  <c r="C68" i="13"/>
  <c r="E68" i="13" s="1"/>
  <c r="E65" i="9"/>
  <c r="C61" i="8" s="1"/>
  <c r="K62" i="5"/>
  <c r="F64" i="9"/>
  <c r="D60" i="8" s="1"/>
  <c r="C67" i="14"/>
  <c r="E67" i="14" s="1"/>
  <c r="F72" i="9"/>
  <c r="D68" i="8" s="1"/>
  <c r="C75" i="14"/>
  <c r="E75" i="14" s="1"/>
  <c r="C84" i="16"/>
  <c r="E84" i="16" s="1"/>
  <c r="H81" i="9"/>
  <c r="C65" i="17"/>
  <c r="E65" i="17" s="1"/>
  <c r="I62" i="9"/>
  <c r="C21" i="16"/>
  <c r="E21" i="16" s="1"/>
  <c r="H18" i="9"/>
  <c r="C19" i="13"/>
  <c r="E19" i="13" s="1"/>
  <c r="E16" i="9"/>
  <c r="C12" i="8" s="1"/>
  <c r="F12" i="8" s="1"/>
  <c r="C27" i="13"/>
  <c r="E27" i="13" s="1"/>
  <c r="E24" i="9"/>
  <c r="C20" i="8" s="1"/>
  <c r="C35" i="13"/>
  <c r="E35" i="13" s="1"/>
  <c r="E32" i="9"/>
  <c r="C28" i="8" s="1"/>
  <c r="B54" i="19"/>
  <c r="E54" i="19" s="1"/>
  <c r="C51" i="9"/>
  <c r="C24" i="16"/>
  <c r="E24" i="16" s="1"/>
  <c r="H21" i="9"/>
  <c r="C32" i="16"/>
  <c r="E32" i="16" s="1"/>
  <c r="H29" i="9"/>
  <c r="G46" i="9"/>
  <c r="E42" i="8" s="1"/>
  <c r="C49" i="15"/>
  <c r="E49" i="15" s="1"/>
  <c r="F39" i="9"/>
  <c r="D35" i="8" s="1"/>
  <c r="C42" i="14"/>
  <c r="E42" i="14" s="1"/>
  <c r="C56" i="16"/>
  <c r="E56" i="16" s="1"/>
  <c r="H53" i="9"/>
  <c r="C71" i="17"/>
  <c r="E71" i="17" s="1"/>
  <c r="I68" i="9"/>
  <c r="G34" i="18"/>
  <c r="F34" i="18"/>
  <c r="C53" i="16"/>
  <c r="E53" i="16" s="1"/>
  <c r="H50" i="9"/>
  <c r="G35" i="9"/>
  <c r="E31" i="8" s="1"/>
  <c r="C38" i="15"/>
  <c r="E38" i="15" s="1"/>
  <c r="C62" i="13"/>
  <c r="E62" i="13" s="1"/>
  <c r="E59" i="9"/>
  <c r="C55" i="8" s="1"/>
  <c r="C59" i="13"/>
  <c r="E59" i="13" s="1"/>
  <c r="E56" i="9"/>
  <c r="C52" i="8" s="1"/>
  <c r="C83" i="13"/>
  <c r="E83" i="13" s="1"/>
  <c r="E80" i="9"/>
  <c r="C76" i="8" s="1"/>
  <c r="C44" i="13"/>
  <c r="E44" i="13" s="1"/>
  <c r="E41" i="9"/>
  <c r="C37" i="8" s="1"/>
  <c r="C73" i="16"/>
  <c r="E73" i="16" s="1"/>
  <c r="H70" i="9"/>
  <c r="B51" i="19"/>
  <c r="E51" i="19" s="1"/>
  <c r="C48" i="9"/>
  <c r="B75" i="19"/>
  <c r="E75" i="19" s="1"/>
  <c r="C72" i="9"/>
  <c r="G60" i="20"/>
  <c r="G79" i="20"/>
  <c r="F80" i="20"/>
  <c r="F20" i="20"/>
  <c r="H20" i="20" s="1"/>
  <c r="F28" i="20"/>
  <c r="F85" i="20"/>
  <c r="G56" i="20"/>
  <c r="F82" i="18"/>
  <c r="G82" i="18"/>
  <c r="G35" i="18"/>
  <c r="F35" i="18"/>
  <c r="G38" i="18"/>
  <c r="F38" i="18"/>
  <c r="F51" i="18"/>
  <c r="G51" i="18"/>
  <c r="G66" i="18"/>
  <c r="F66" i="18"/>
  <c r="C53" i="13"/>
  <c r="E53" i="13" s="1"/>
  <c r="E50" i="9"/>
  <c r="C46" i="8" s="1"/>
  <c r="C41" i="17"/>
  <c r="E41" i="17" s="1"/>
  <c r="I38" i="9"/>
  <c r="C61" i="13"/>
  <c r="E61" i="13" s="1"/>
  <c r="E58" i="9"/>
  <c r="C54" i="8" s="1"/>
  <c r="B80" i="19"/>
  <c r="E80" i="19" s="1"/>
  <c r="C77" i="9"/>
  <c r="K55" i="5"/>
  <c r="C38" i="12"/>
  <c r="E38" i="12" s="1"/>
  <c r="D35" i="9"/>
  <c r="C66" i="16"/>
  <c r="E66" i="16" s="1"/>
  <c r="H63" i="9"/>
  <c r="G40" i="9"/>
  <c r="E36" i="8" s="1"/>
  <c r="C43" i="15"/>
  <c r="E43" i="15" s="1"/>
  <c r="C40" i="17"/>
  <c r="E40" i="17" s="1"/>
  <c r="I37" i="9"/>
  <c r="C36" i="13"/>
  <c r="E36" i="13" s="1"/>
  <c r="E33" i="9"/>
  <c r="C29" i="8" s="1"/>
  <c r="B23" i="19"/>
  <c r="E23" i="19" s="1"/>
  <c r="C20" i="9"/>
  <c r="B31" i="19"/>
  <c r="E31" i="19" s="1"/>
  <c r="C28" i="9"/>
  <c r="C45" i="12"/>
  <c r="E45" i="12" s="1"/>
  <c r="D42" i="9"/>
  <c r="C76" i="13"/>
  <c r="E76" i="13" s="1"/>
  <c r="E73" i="9"/>
  <c r="C69" i="8" s="1"/>
  <c r="C52" i="13"/>
  <c r="E52" i="13" s="1"/>
  <c r="E49" i="9"/>
  <c r="C45" i="8" s="1"/>
  <c r="C77" i="12"/>
  <c r="E77" i="12" s="1"/>
  <c r="D74" i="9"/>
  <c r="C58" i="17"/>
  <c r="E58" i="17" s="1"/>
  <c r="I55" i="9"/>
  <c r="C26" i="16"/>
  <c r="E26" i="16" s="1"/>
  <c r="H23" i="9"/>
  <c r="C37" i="17"/>
  <c r="E37" i="17" s="1"/>
  <c r="I34" i="9"/>
  <c r="C85" i="17"/>
  <c r="E85" i="17" s="1"/>
  <c r="I82" i="9"/>
  <c r="F69" i="9"/>
  <c r="D65" i="8" s="1"/>
  <c r="C72" i="14"/>
  <c r="E72" i="14" s="1"/>
  <c r="F45" i="9"/>
  <c r="D41" i="8" s="1"/>
  <c r="C48" i="14"/>
  <c r="E48" i="14" s="1"/>
  <c r="K51" i="5"/>
  <c r="F61" i="9"/>
  <c r="D57" i="8" s="1"/>
  <c r="C64" i="14"/>
  <c r="E64" i="14" s="1"/>
  <c r="G52" i="9"/>
  <c r="E48" i="8" s="1"/>
  <c r="C55" i="15"/>
  <c r="E55" i="15" s="1"/>
  <c r="C82" i="12"/>
  <c r="E82" i="12" s="1"/>
  <c r="D79" i="9"/>
  <c r="C81" i="13"/>
  <c r="E81" i="13" s="1"/>
  <c r="E78" i="9"/>
  <c r="C74" i="8" s="1"/>
  <c r="C69" i="17"/>
  <c r="E69" i="17" s="1"/>
  <c r="I66" i="9"/>
  <c r="C78" i="16"/>
  <c r="E78" i="16" s="1"/>
  <c r="H75" i="9"/>
  <c r="G48" i="9"/>
  <c r="E44" i="8" s="1"/>
  <c r="C51" i="15"/>
  <c r="E51" i="15" s="1"/>
  <c r="B25" i="19"/>
  <c r="E25" i="19" s="1"/>
  <c r="C22" i="9"/>
  <c r="C20" i="13"/>
  <c r="E20" i="13" s="1"/>
  <c r="E17" i="9"/>
  <c r="C13" i="8" s="1"/>
  <c r="C50" i="16"/>
  <c r="E50" i="16" s="1"/>
  <c r="H47" i="9"/>
  <c r="C46" i="12"/>
  <c r="E46" i="12" s="1"/>
  <c r="D43" i="9"/>
  <c r="K39" i="5"/>
  <c r="B14" i="5"/>
  <c r="A21" i="19"/>
  <c r="B21" i="18"/>
  <c r="B21" i="20"/>
  <c r="B21" i="16"/>
  <c r="B21" i="17"/>
  <c r="B21" i="15"/>
  <c r="B21" i="14"/>
  <c r="B21" i="13"/>
  <c r="B21" i="12"/>
  <c r="C39" i="16"/>
  <c r="E39" i="16" s="1"/>
  <c r="H36" i="9"/>
  <c r="C22" i="17"/>
  <c r="E22" i="17" s="1"/>
  <c r="I19" i="9"/>
  <c r="C30" i="17"/>
  <c r="E30" i="17" s="1"/>
  <c r="I27" i="9"/>
  <c r="C74" i="13"/>
  <c r="E74" i="13" s="1"/>
  <c r="E71" i="9"/>
  <c r="C67" i="8" s="1"/>
  <c r="F70" i="9"/>
  <c r="D66" i="8" s="1"/>
  <c r="C73" i="14"/>
  <c r="E73" i="14" s="1"/>
  <c r="C79" i="16"/>
  <c r="E79" i="16" s="1"/>
  <c r="H76" i="9"/>
  <c r="C51" i="13"/>
  <c r="E51" i="13" s="1"/>
  <c r="E48" i="9"/>
  <c r="F31" i="9"/>
  <c r="D27" i="8" s="1"/>
  <c r="C34" i="14"/>
  <c r="E34" i="14" s="1"/>
  <c r="C57" i="17"/>
  <c r="E57" i="17" s="1"/>
  <c r="I54" i="9"/>
  <c r="F65" i="9"/>
  <c r="D61" i="8" s="1"/>
  <c r="C68" i="14"/>
  <c r="E68" i="14" s="1"/>
  <c r="C70" i="12"/>
  <c r="E70" i="12" s="1"/>
  <c r="D67" i="9"/>
  <c r="G64" i="9"/>
  <c r="E60" i="8" s="1"/>
  <c r="C67" i="15"/>
  <c r="E67" i="15" s="1"/>
  <c r="C75" i="15"/>
  <c r="E75" i="15" s="1"/>
  <c r="G72" i="9"/>
  <c r="E68" i="8" s="1"/>
  <c r="G34" i="13"/>
  <c r="F34" i="13"/>
  <c r="B84" i="19"/>
  <c r="E84" i="19" s="1"/>
  <c r="C81" i="9"/>
  <c r="B65" i="19"/>
  <c r="E65" i="19" s="1"/>
  <c r="C62" i="9"/>
  <c r="G18" i="9"/>
  <c r="E14" i="8" s="1"/>
  <c r="C21" i="15"/>
  <c r="E21" i="15" s="1"/>
  <c r="G20" i="16"/>
  <c r="F20" i="16"/>
  <c r="F16" i="9"/>
  <c r="D12" i="8" s="1"/>
  <c r="G12" i="8" s="1"/>
  <c r="C19" i="14"/>
  <c r="E19" i="14" s="1"/>
  <c r="F24" i="9"/>
  <c r="D20" i="8" s="1"/>
  <c r="C27" i="14"/>
  <c r="E27" i="14" s="1"/>
  <c r="F32" i="9"/>
  <c r="D28" i="8" s="1"/>
  <c r="C35" i="14"/>
  <c r="E35" i="14" s="1"/>
  <c r="C24" i="17"/>
  <c r="E24" i="17" s="1"/>
  <c r="I21" i="9"/>
  <c r="C32" i="17"/>
  <c r="E32" i="17" s="1"/>
  <c r="I29" i="9"/>
  <c r="C49" i="16"/>
  <c r="E49" i="16" s="1"/>
  <c r="H46" i="9"/>
  <c r="G39" i="9"/>
  <c r="E35" i="8" s="1"/>
  <c r="C42" i="15"/>
  <c r="E42" i="15" s="1"/>
  <c r="C56" i="17"/>
  <c r="E56" i="17" s="1"/>
  <c r="I53" i="9"/>
  <c r="B71" i="19"/>
  <c r="E71" i="19" s="1"/>
  <c r="C68" i="9"/>
  <c r="C29" i="12"/>
  <c r="E29" i="12" s="1"/>
  <c r="D26" i="9"/>
  <c r="F39" i="20"/>
  <c r="F63" i="18"/>
  <c r="G63" i="18"/>
  <c r="C61" i="16"/>
  <c r="E61" i="16" s="1"/>
  <c r="H58" i="9"/>
  <c r="G33" i="9"/>
  <c r="E29" i="8" s="1"/>
  <c r="C36" i="15"/>
  <c r="E36" i="15" s="1"/>
  <c r="G73" i="9"/>
  <c r="E69" i="8" s="1"/>
  <c r="C76" i="15"/>
  <c r="E76" i="15" s="1"/>
  <c r="C72" i="16"/>
  <c r="E72" i="16" s="1"/>
  <c r="H69" i="9"/>
  <c r="F17" i="9"/>
  <c r="D13" i="8" s="1"/>
  <c r="C20" i="14"/>
  <c r="E20" i="14" s="1"/>
  <c r="B67" i="19"/>
  <c r="E67" i="19" s="1"/>
  <c r="C64" i="9"/>
  <c r="G60" i="16"/>
  <c r="F60" i="16"/>
  <c r="C54" i="13"/>
  <c r="E54" i="13" s="1"/>
  <c r="E51" i="9"/>
  <c r="C47" i="8" s="1"/>
  <c r="C42" i="17"/>
  <c r="E42" i="17" s="1"/>
  <c r="I39" i="9"/>
  <c r="G33" i="19"/>
  <c r="G31" i="20"/>
  <c r="F79" i="20"/>
  <c r="G80" i="20"/>
  <c r="G20" i="20"/>
  <c r="G28" i="20"/>
  <c r="G85" i="20"/>
  <c r="F56" i="20"/>
  <c r="G22" i="18"/>
  <c r="F22" i="18"/>
  <c r="G49" i="18"/>
  <c r="F49" i="18"/>
  <c r="G50" i="18"/>
  <c r="F50" i="18"/>
  <c r="G65" i="18"/>
  <c r="F65" i="18"/>
  <c r="G81" i="18"/>
  <c r="F81" i="18"/>
  <c r="C34" i="12"/>
  <c r="E34" i="12" s="1"/>
  <c r="D31" i="9"/>
  <c r="F50" i="9"/>
  <c r="D46" i="8" s="1"/>
  <c r="C53" i="14"/>
  <c r="E53" i="14" s="1"/>
  <c r="B41" i="19"/>
  <c r="E41" i="19" s="1"/>
  <c r="C38" i="9"/>
  <c r="F58" i="9"/>
  <c r="D54" i="8" s="1"/>
  <c r="C61" i="14"/>
  <c r="E61" i="14" s="1"/>
  <c r="K72" i="5"/>
  <c r="C63" i="12"/>
  <c r="E63" i="12" s="1"/>
  <c r="D60" i="9"/>
  <c r="C38" i="13"/>
  <c r="E38" i="13" s="1"/>
  <c r="E35" i="9"/>
  <c r="C31" i="8" s="1"/>
  <c r="C66" i="17"/>
  <c r="E66" i="17" s="1"/>
  <c r="I63" i="9"/>
  <c r="C43" i="16"/>
  <c r="E43" i="16" s="1"/>
  <c r="H40" i="9"/>
  <c r="C20" i="17"/>
  <c r="E20" i="17" s="1"/>
  <c r="I17" i="9"/>
  <c r="B40" i="19"/>
  <c r="E40" i="19" s="1"/>
  <c r="C37" i="9"/>
  <c r="B34" i="19"/>
  <c r="E34" i="19" s="1"/>
  <c r="C31" i="9"/>
  <c r="F33" i="9"/>
  <c r="D29" i="8" s="1"/>
  <c r="C36" i="14"/>
  <c r="E36" i="14" s="1"/>
  <c r="K15" i="5"/>
  <c r="K23" i="5"/>
  <c r="C45" i="13"/>
  <c r="E45" i="13" s="1"/>
  <c r="E42" i="9"/>
  <c r="C38" i="8" s="1"/>
  <c r="F73" i="9"/>
  <c r="D69" i="8" s="1"/>
  <c r="C76" i="14"/>
  <c r="E76" i="14" s="1"/>
  <c r="F49" i="9"/>
  <c r="D45" i="8" s="1"/>
  <c r="C52" i="14"/>
  <c r="E52" i="14" s="1"/>
  <c r="C77" i="13"/>
  <c r="E77" i="13" s="1"/>
  <c r="E74" i="9"/>
  <c r="C70" i="8" s="1"/>
  <c r="C62" i="12"/>
  <c r="E62" i="12" s="1"/>
  <c r="D59" i="9"/>
  <c r="C28" i="17"/>
  <c r="E28" i="17" s="1"/>
  <c r="I25" i="9"/>
  <c r="C26" i="17"/>
  <c r="E26" i="17" s="1"/>
  <c r="I23" i="9"/>
  <c r="B37" i="19"/>
  <c r="E37" i="19" s="1"/>
  <c r="C34" i="9"/>
  <c r="B85" i="19"/>
  <c r="E85" i="19" s="1"/>
  <c r="C82" i="9"/>
  <c r="G69" i="9"/>
  <c r="E65" i="8" s="1"/>
  <c r="C72" i="15"/>
  <c r="E72" i="15" s="1"/>
  <c r="G45" i="9"/>
  <c r="E41" i="8" s="1"/>
  <c r="C48" i="15"/>
  <c r="E48" i="15" s="1"/>
  <c r="C34" i="17"/>
  <c r="E34" i="17" s="1"/>
  <c r="I31" i="9"/>
  <c r="C59" i="12"/>
  <c r="E59" i="12" s="1"/>
  <c r="D56" i="9"/>
  <c r="G61" i="9"/>
  <c r="E57" i="8" s="1"/>
  <c r="C64" i="15"/>
  <c r="E64" i="15" s="1"/>
  <c r="C55" i="16"/>
  <c r="E55" i="16" s="1"/>
  <c r="H52" i="9"/>
  <c r="C82" i="13"/>
  <c r="E82" i="13" s="1"/>
  <c r="E79" i="9"/>
  <c r="C75" i="8" s="1"/>
  <c r="F78" i="9"/>
  <c r="D74" i="8" s="1"/>
  <c r="C81" i="14"/>
  <c r="E81" i="14" s="1"/>
  <c r="B69" i="19"/>
  <c r="E69" i="19" s="1"/>
  <c r="C66" i="9"/>
  <c r="C78" i="17"/>
  <c r="E78" i="17" s="1"/>
  <c r="I75" i="9"/>
  <c r="C83" i="12"/>
  <c r="E83" i="12" s="1"/>
  <c r="D80" i="9"/>
  <c r="C25" i="12"/>
  <c r="E25" i="12" s="1"/>
  <c r="D22" i="9"/>
  <c r="C50" i="17"/>
  <c r="E50" i="17" s="1"/>
  <c r="I47" i="9"/>
  <c r="C46" i="13"/>
  <c r="E46" i="13" s="1"/>
  <c r="E43" i="9"/>
  <c r="C39" i="8" s="1"/>
  <c r="C47" i="12"/>
  <c r="E47" i="12" s="1"/>
  <c r="D44" i="9"/>
  <c r="G33" i="20"/>
  <c r="C44" i="12"/>
  <c r="E44" i="12" s="1"/>
  <c r="D41" i="9"/>
  <c r="C39" i="17"/>
  <c r="E39" i="17" s="1"/>
  <c r="I36" i="9"/>
  <c r="B22" i="19"/>
  <c r="E22" i="19" s="1"/>
  <c r="C19" i="9"/>
  <c r="B30" i="19"/>
  <c r="E30" i="19" s="1"/>
  <c r="C27" i="9"/>
  <c r="F71" i="9"/>
  <c r="D67" i="8" s="1"/>
  <c r="C74" i="14"/>
  <c r="E74" i="14" s="1"/>
  <c r="G70" i="9"/>
  <c r="E66" i="8" s="1"/>
  <c r="C73" i="15"/>
  <c r="E73" i="15" s="1"/>
  <c r="C79" i="17"/>
  <c r="E79" i="17" s="1"/>
  <c r="I76" i="9"/>
  <c r="K12" i="5"/>
  <c r="B57" i="19"/>
  <c r="E57" i="19" s="1"/>
  <c r="C54" i="9"/>
  <c r="G65" i="9"/>
  <c r="E61" i="8" s="1"/>
  <c r="C68" i="15"/>
  <c r="E68" i="15" s="1"/>
  <c r="C70" i="13"/>
  <c r="E70" i="13" s="1"/>
  <c r="E67" i="9"/>
  <c r="C63" i="8" s="1"/>
  <c r="C67" i="16"/>
  <c r="E67" i="16" s="1"/>
  <c r="H64" i="9"/>
  <c r="C75" i="16"/>
  <c r="E75" i="16" s="1"/>
  <c r="H72" i="9"/>
  <c r="K76" i="5"/>
  <c r="C65" i="12"/>
  <c r="E65" i="12" s="1"/>
  <c r="D62" i="9"/>
  <c r="C21" i="17"/>
  <c r="E21" i="17" s="1"/>
  <c r="I18" i="9"/>
  <c r="C19" i="15"/>
  <c r="E19" i="15" s="1"/>
  <c r="G16" i="9"/>
  <c r="E12" i="8" s="1"/>
  <c r="H12" i="8" s="1"/>
  <c r="C27" i="15"/>
  <c r="E27" i="15" s="1"/>
  <c r="G24" i="9"/>
  <c r="E20" i="8" s="1"/>
  <c r="G32" i="9"/>
  <c r="E28" i="8" s="1"/>
  <c r="C35" i="15"/>
  <c r="E35" i="15" s="1"/>
  <c r="C54" i="12"/>
  <c r="E54" i="12" s="1"/>
  <c r="D51" i="9"/>
  <c r="B24" i="19"/>
  <c r="E24" i="19" s="1"/>
  <c r="C21" i="9"/>
  <c r="B32" i="19"/>
  <c r="E32" i="19" s="1"/>
  <c r="C29" i="9"/>
  <c r="C49" i="17"/>
  <c r="E49" i="17" s="1"/>
  <c r="I46" i="9"/>
  <c r="C42" i="16"/>
  <c r="E42" i="16" s="1"/>
  <c r="H39" i="9"/>
  <c r="B56" i="19"/>
  <c r="E56" i="19" s="1"/>
  <c r="C53" i="9"/>
  <c r="K63" i="5"/>
  <c r="C29" i="13"/>
  <c r="E29" i="13" s="1"/>
  <c r="E26" i="9"/>
  <c r="C22" i="8" s="1"/>
  <c r="K26" i="5"/>
  <c r="H21" i="18"/>
  <c r="B91" i="18" l="1"/>
  <c r="B91" i="20"/>
  <c r="B91" i="12"/>
  <c r="B84" i="5"/>
  <c r="B91" i="13"/>
  <c r="B91" i="14"/>
  <c r="B91" i="15"/>
  <c r="B91" i="16"/>
  <c r="B91" i="17"/>
  <c r="G57" i="18"/>
  <c r="F67" i="18"/>
  <c r="F41" i="18"/>
  <c r="H13" i="8"/>
  <c r="H14" i="8" s="1"/>
  <c r="F28" i="16"/>
  <c r="F30" i="18"/>
  <c r="N56" i="9"/>
  <c r="H21" i="20"/>
  <c r="H22" i="20" s="1"/>
  <c r="N62" i="9"/>
  <c r="N44" i="9"/>
  <c r="H15" i="8"/>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G60" i="14"/>
  <c r="F60" i="14"/>
  <c r="N51" i="9"/>
  <c r="G58" i="12"/>
  <c r="F58" i="12"/>
  <c r="N22" i="9"/>
  <c r="N64" i="9"/>
  <c r="N47" i="9"/>
  <c r="N75" i="9"/>
  <c r="N16" i="9"/>
  <c r="O16" i="9" s="1"/>
  <c r="G83" i="12"/>
  <c r="F83" i="12"/>
  <c r="G21" i="15"/>
  <c r="F21" i="15"/>
  <c r="F24" i="15"/>
  <c r="G24" i="15"/>
  <c r="F31" i="15"/>
  <c r="G31" i="15"/>
  <c r="G77" i="15"/>
  <c r="F77" i="15"/>
  <c r="N46" i="9"/>
  <c r="F82" i="15"/>
  <c r="G82" i="15"/>
  <c r="F68" i="15"/>
  <c r="G68" i="15"/>
  <c r="G22" i="19"/>
  <c r="F22" i="19"/>
  <c r="N80" i="9"/>
  <c r="G81" i="14"/>
  <c r="F81" i="14"/>
  <c r="G72" i="15"/>
  <c r="F72" i="15"/>
  <c r="G52" i="14"/>
  <c r="F52" i="14"/>
  <c r="G34" i="19"/>
  <c r="F34" i="19"/>
  <c r="G66" i="17"/>
  <c r="F66" i="17"/>
  <c r="F61" i="14"/>
  <c r="G61" i="14"/>
  <c r="G53" i="14"/>
  <c r="F53" i="14"/>
  <c r="F36" i="15"/>
  <c r="G36" i="15"/>
  <c r="G29" i="12"/>
  <c r="F29" i="12"/>
  <c r="G56" i="17"/>
  <c r="F56" i="17"/>
  <c r="F24" i="17"/>
  <c r="G24" i="17"/>
  <c r="G70" i="12"/>
  <c r="F70" i="12"/>
  <c r="G51" i="13"/>
  <c r="F51" i="13"/>
  <c r="G20" i="13"/>
  <c r="F20" i="13"/>
  <c r="G26" i="16"/>
  <c r="F26" i="16"/>
  <c r="G45" i="12"/>
  <c r="F45" i="12"/>
  <c r="F40" i="17"/>
  <c r="G40" i="17"/>
  <c r="G73" i="16"/>
  <c r="F73" i="16"/>
  <c r="G35" i="13"/>
  <c r="F35" i="13"/>
  <c r="G65" i="17"/>
  <c r="F65" i="17"/>
  <c r="F79" i="15"/>
  <c r="G79" i="15"/>
  <c r="N17" i="9"/>
  <c r="N45" i="9"/>
  <c r="N33" i="9"/>
  <c r="F61" i="12"/>
  <c r="G61" i="12"/>
  <c r="G78" i="19"/>
  <c r="F78" i="19"/>
  <c r="G27" i="12"/>
  <c r="F27" i="12"/>
  <c r="G22" i="14"/>
  <c r="F22" i="14"/>
  <c r="G58" i="15"/>
  <c r="F58" i="15"/>
  <c r="F85" i="16"/>
  <c r="G85" i="16"/>
  <c r="F45" i="19"/>
  <c r="G45" i="19"/>
  <c r="F63" i="17"/>
  <c r="G63" i="17"/>
  <c r="F41" i="15"/>
  <c r="G41" i="15"/>
  <c r="N38" i="9"/>
  <c r="G42" i="12"/>
  <c r="F42" i="12"/>
  <c r="G54" i="16"/>
  <c r="F54" i="16"/>
  <c r="F44" i="17"/>
  <c r="G44" i="17"/>
  <c r="F47" i="16"/>
  <c r="G47" i="16"/>
  <c r="F26" i="13"/>
  <c r="G26" i="13"/>
  <c r="G45" i="17"/>
  <c r="F45" i="17"/>
  <c r="G38" i="17"/>
  <c r="F38" i="17"/>
  <c r="F61" i="19"/>
  <c r="G61" i="19"/>
  <c r="G53" i="19"/>
  <c r="F53" i="19"/>
  <c r="F23" i="12"/>
  <c r="G23" i="12"/>
  <c r="G29" i="15"/>
  <c r="F29" i="15"/>
  <c r="F21" i="12"/>
  <c r="G21" i="12"/>
  <c r="G74" i="17"/>
  <c r="F74" i="17"/>
  <c r="F46" i="16"/>
  <c r="G46" i="16"/>
  <c r="G83" i="15"/>
  <c r="F83" i="15"/>
  <c r="G48" i="19"/>
  <c r="F48" i="19"/>
  <c r="G62" i="14"/>
  <c r="F62" i="14"/>
  <c r="F76" i="16"/>
  <c r="G76" i="16"/>
  <c r="F23" i="13"/>
  <c r="G23" i="13"/>
  <c r="N63" i="9"/>
  <c r="F41" i="13"/>
  <c r="G41" i="13"/>
  <c r="G35" i="16"/>
  <c r="F35" i="16"/>
  <c r="F55" i="17"/>
  <c r="G55" i="17"/>
  <c r="G29" i="16"/>
  <c r="F29" i="16"/>
  <c r="N19" i="9"/>
  <c r="G83" i="14"/>
  <c r="F83" i="14"/>
  <c r="G81" i="16"/>
  <c r="F81" i="16"/>
  <c r="N82" i="9"/>
  <c r="G26" i="19"/>
  <c r="F26" i="19"/>
  <c r="G31" i="14"/>
  <c r="F31" i="14"/>
  <c r="F29" i="14"/>
  <c r="G29" i="14"/>
  <c r="G27" i="15"/>
  <c r="F27" i="15"/>
  <c r="G68" i="14"/>
  <c r="F68" i="14"/>
  <c r="F64" i="14"/>
  <c r="G64" i="14"/>
  <c r="F55" i="13"/>
  <c r="G55" i="13"/>
  <c r="G36" i="12"/>
  <c r="F36" i="12"/>
  <c r="G41" i="12"/>
  <c r="F41" i="12"/>
  <c r="G47" i="13"/>
  <c r="F47" i="13"/>
  <c r="G85" i="12"/>
  <c r="F85" i="12"/>
  <c r="G51" i="17"/>
  <c r="F51" i="17"/>
  <c r="G75" i="16"/>
  <c r="F75" i="16"/>
  <c r="F39" i="17"/>
  <c r="G39" i="17"/>
  <c r="G45" i="13"/>
  <c r="F45" i="13"/>
  <c r="G40" i="19"/>
  <c r="F40" i="19"/>
  <c r="G38" i="13"/>
  <c r="F38" i="13"/>
  <c r="N31" i="9"/>
  <c r="G20" i="14"/>
  <c r="F20" i="14"/>
  <c r="G71" i="19"/>
  <c r="F71" i="19"/>
  <c r="G75" i="15"/>
  <c r="F75" i="15"/>
  <c r="F79" i="16"/>
  <c r="G79" i="16"/>
  <c r="F25" i="19"/>
  <c r="G25" i="19"/>
  <c r="G69" i="17"/>
  <c r="F69" i="17"/>
  <c r="G85" i="17"/>
  <c r="F85" i="17"/>
  <c r="G58" i="17"/>
  <c r="F58" i="17"/>
  <c r="G76" i="13"/>
  <c r="F76" i="13"/>
  <c r="G31" i="19"/>
  <c r="F31" i="19"/>
  <c r="G44" i="13"/>
  <c r="F44" i="13"/>
  <c r="G53" i="16"/>
  <c r="F53" i="16"/>
  <c r="G32" i="16"/>
  <c r="F32" i="16"/>
  <c r="F27" i="13"/>
  <c r="G27" i="13"/>
  <c r="G84" i="16"/>
  <c r="F84" i="16"/>
  <c r="G34" i="16"/>
  <c r="F34" i="16"/>
  <c r="N61" i="9"/>
  <c r="G37" i="15"/>
  <c r="F37" i="15"/>
  <c r="N49" i="9"/>
  <c r="G63" i="19"/>
  <c r="F63" i="19"/>
  <c r="F29" i="19"/>
  <c r="G29" i="19"/>
  <c r="G19" i="12"/>
  <c r="I19" i="12" s="1"/>
  <c r="J19" i="12" s="1"/>
  <c r="C15" i="7" s="1"/>
  <c r="F19" i="12"/>
  <c r="H19" i="12" s="1"/>
  <c r="N65" i="9"/>
  <c r="G64" i="13"/>
  <c r="F64" i="13"/>
  <c r="F48" i="13"/>
  <c r="G48" i="13"/>
  <c r="F31" i="16"/>
  <c r="G31" i="16"/>
  <c r="G43" i="13"/>
  <c r="F43" i="13"/>
  <c r="F81" i="15"/>
  <c r="G81" i="15"/>
  <c r="C53" i="8"/>
  <c r="N57" i="9"/>
  <c r="F49" i="13"/>
  <c r="G49" i="13"/>
  <c r="G67" i="12"/>
  <c r="F67" i="12"/>
  <c r="F79" i="14"/>
  <c r="G79" i="14"/>
  <c r="G46" i="17"/>
  <c r="F46" i="17"/>
  <c r="G83" i="16"/>
  <c r="F83" i="16"/>
  <c r="G81" i="19"/>
  <c r="F81" i="19"/>
  <c r="G62" i="16"/>
  <c r="F62" i="16"/>
  <c r="F76" i="19"/>
  <c r="G76" i="19"/>
  <c r="G20" i="19"/>
  <c r="F20" i="19"/>
  <c r="F63" i="16"/>
  <c r="G63" i="16"/>
  <c r="F35" i="17"/>
  <c r="G35" i="17"/>
  <c r="G65" i="14"/>
  <c r="F65" i="14"/>
  <c r="G79" i="12"/>
  <c r="F79" i="12"/>
  <c r="G30" i="13"/>
  <c r="F30" i="13"/>
  <c r="F50" i="12"/>
  <c r="G50" i="12"/>
  <c r="G78" i="12"/>
  <c r="F78" i="12"/>
  <c r="F37" i="13"/>
  <c r="G37" i="13"/>
  <c r="F36" i="16"/>
  <c r="G36" i="16"/>
  <c r="G61" i="17"/>
  <c r="F61" i="17"/>
  <c r="F53" i="17"/>
  <c r="G53" i="17"/>
  <c r="G68" i="17"/>
  <c r="F68" i="17"/>
  <c r="F49" i="12"/>
  <c r="G49" i="12"/>
  <c r="G35" i="19"/>
  <c r="F35" i="19"/>
  <c r="G46" i="14"/>
  <c r="F46" i="14"/>
  <c r="F76" i="17"/>
  <c r="G76" i="17"/>
  <c r="F23" i="14"/>
  <c r="G23" i="14"/>
  <c r="N77" i="9"/>
  <c r="N54" i="9"/>
  <c r="G73" i="15"/>
  <c r="F73" i="15"/>
  <c r="G42" i="17"/>
  <c r="F42" i="17"/>
  <c r="G43" i="15"/>
  <c r="F43" i="15"/>
  <c r="G30" i="16"/>
  <c r="F30" i="16"/>
  <c r="F84" i="17"/>
  <c r="G84" i="17"/>
  <c r="F30" i="15"/>
  <c r="G30" i="15"/>
  <c r="G59" i="16"/>
  <c r="F59" i="16"/>
  <c r="F71" i="14"/>
  <c r="G71" i="14"/>
  <c r="F22" i="12"/>
  <c r="G22" i="12"/>
  <c r="G24" i="19"/>
  <c r="F24" i="19"/>
  <c r="F57" i="19"/>
  <c r="G57" i="19"/>
  <c r="G74" i="14"/>
  <c r="F74" i="14"/>
  <c r="N41" i="9"/>
  <c r="F46" i="13"/>
  <c r="G46" i="13"/>
  <c r="G78" i="17"/>
  <c r="F78" i="17"/>
  <c r="G82" i="13"/>
  <c r="F82" i="13"/>
  <c r="G34" i="17"/>
  <c r="F34" i="17"/>
  <c r="F85" i="19"/>
  <c r="G85" i="19"/>
  <c r="G28" i="17"/>
  <c r="F28" i="17"/>
  <c r="G76" i="14"/>
  <c r="F76" i="14"/>
  <c r="N60" i="9"/>
  <c r="G34" i="12"/>
  <c r="F34" i="12"/>
  <c r="F54" i="13"/>
  <c r="G54" i="13"/>
  <c r="F61" i="16"/>
  <c r="G61" i="16"/>
  <c r="F27" i="14"/>
  <c r="G27" i="14"/>
  <c r="G22" i="17"/>
  <c r="F22" i="17"/>
  <c r="N43" i="9"/>
  <c r="G51" i="15"/>
  <c r="F51" i="15"/>
  <c r="N74" i="9"/>
  <c r="F80" i="19"/>
  <c r="G80" i="19"/>
  <c r="F41" i="17"/>
  <c r="G41" i="17"/>
  <c r="F13" i="8"/>
  <c r="F14" i="8" s="1"/>
  <c r="F15" i="8" s="1"/>
  <c r="F16" i="8" s="1"/>
  <c r="F17" i="8" s="1"/>
  <c r="F18" i="8" s="1"/>
  <c r="F19" i="8" s="1"/>
  <c r="F20" i="8" s="1"/>
  <c r="F21" i="8" s="1"/>
  <c r="F22" i="8" s="1"/>
  <c r="F23" i="8" s="1"/>
  <c r="F24" i="8" s="1"/>
  <c r="F25" i="8" s="1"/>
  <c r="F26" i="8" s="1"/>
  <c r="F27" i="8" s="1"/>
  <c r="F28" i="8" s="1"/>
  <c r="F29" i="8" s="1"/>
  <c r="F30" i="8" s="1"/>
  <c r="F31" i="8" s="1"/>
  <c r="F32" i="8" s="1"/>
  <c r="F33" i="8" s="1"/>
  <c r="F34" i="8" s="1"/>
  <c r="F35" i="8" s="1"/>
  <c r="F36" i="8" s="1"/>
  <c r="F37" i="8" s="1"/>
  <c r="F38" i="8" s="1"/>
  <c r="F39" i="8" s="1"/>
  <c r="F40" i="8" s="1"/>
  <c r="F41" i="8" s="1"/>
  <c r="F42" i="8" s="1"/>
  <c r="F43" i="8" s="1"/>
  <c r="G75" i="14"/>
  <c r="F75" i="14"/>
  <c r="F68" i="13"/>
  <c r="G68" i="13"/>
  <c r="G22" i="16"/>
  <c r="F22" i="16"/>
  <c r="G69" i="15"/>
  <c r="F69" i="15"/>
  <c r="G64" i="12"/>
  <c r="F64" i="12"/>
  <c r="G52" i="12"/>
  <c r="F52" i="12"/>
  <c r="G70" i="15"/>
  <c r="F70" i="15"/>
  <c r="N28" i="9"/>
  <c r="G21" i="14"/>
  <c r="F21" i="14"/>
  <c r="G75" i="13"/>
  <c r="F75" i="13"/>
  <c r="G68" i="12"/>
  <c r="F68" i="12"/>
  <c r="F39" i="13"/>
  <c r="G39" i="13"/>
  <c r="F47" i="17"/>
  <c r="G47" i="17"/>
  <c r="F25" i="16"/>
  <c r="G25" i="16"/>
  <c r="F69" i="16"/>
  <c r="G69" i="16"/>
  <c r="F66" i="14"/>
  <c r="G66" i="14"/>
  <c r="G60" i="13"/>
  <c r="F60" i="13"/>
  <c r="F32" i="14"/>
  <c r="G32" i="14"/>
  <c r="G22" i="15"/>
  <c r="F22" i="15"/>
  <c r="G51" i="14"/>
  <c r="F51" i="14"/>
  <c r="F23" i="15"/>
  <c r="G23" i="15"/>
  <c r="N40" i="9"/>
  <c r="F71" i="13"/>
  <c r="G71" i="13"/>
  <c r="N29" i="9"/>
  <c r="G70" i="16"/>
  <c r="F70" i="16"/>
  <c r="N25" i="9"/>
  <c r="G64" i="19"/>
  <c r="F64" i="19"/>
  <c r="N23" i="9"/>
  <c r="G45" i="15"/>
  <c r="F45" i="15"/>
  <c r="N37" i="9"/>
  <c r="F38" i="16"/>
  <c r="G38" i="16"/>
  <c r="G74" i="15"/>
  <c r="F74" i="15"/>
  <c r="F84" i="13"/>
  <c r="G84" i="13"/>
  <c r="G70" i="14"/>
  <c r="F70" i="14"/>
  <c r="G73" i="17"/>
  <c r="F73" i="17"/>
  <c r="G44" i="14"/>
  <c r="F44" i="14"/>
  <c r="F48" i="17"/>
  <c r="G48" i="17"/>
  <c r="N34" i="9"/>
  <c r="G66" i="19"/>
  <c r="F66" i="19"/>
  <c r="F80" i="12"/>
  <c r="G80" i="12"/>
  <c r="G53" i="15"/>
  <c r="F53" i="15"/>
  <c r="G19" i="16"/>
  <c r="I19" i="16" s="1"/>
  <c r="J19" i="16" s="1"/>
  <c r="G15" i="7" s="1"/>
  <c r="F19" i="16"/>
  <c r="H19" i="16" s="1"/>
  <c r="G57" i="12"/>
  <c r="F57" i="12"/>
  <c r="G51" i="16"/>
  <c r="F51" i="16"/>
  <c r="F47" i="12"/>
  <c r="G47" i="12"/>
  <c r="F42" i="15"/>
  <c r="G42" i="15"/>
  <c r="G56" i="15"/>
  <c r="F56" i="15"/>
  <c r="F79" i="13"/>
  <c r="G79" i="13"/>
  <c r="F28" i="14"/>
  <c r="G28" i="14"/>
  <c r="F28" i="19"/>
  <c r="G28" i="19"/>
  <c r="F63" i="14"/>
  <c r="G63" i="14"/>
  <c r="G33" i="14"/>
  <c r="F33" i="14"/>
  <c r="F65" i="13"/>
  <c r="G65" i="13"/>
  <c r="G19" i="15"/>
  <c r="I19" i="15" s="1"/>
  <c r="J19" i="15" s="1"/>
  <c r="F19" i="15"/>
  <c r="H19" i="15" s="1"/>
  <c r="G44" i="12"/>
  <c r="F44" i="12"/>
  <c r="F48" i="15"/>
  <c r="G48" i="15"/>
  <c r="N59" i="9"/>
  <c r="G20" i="17"/>
  <c r="F20" i="17"/>
  <c r="F63" i="12"/>
  <c r="G63" i="12"/>
  <c r="F49" i="16"/>
  <c r="G49" i="16"/>
  <c r="F65" i="19"/>
  <c r="G65" i="19"/>
  <c r="G57" i="17"/>
  <c r="F57" i="17"/>
  <c r="F73" i="14"/>
  <c r="G73" i="14"/>
  <c r="G46" i="12"/>
  <c r="F46" i="12"/>
  <c r="F81" i="13"/>
  <c r="G81" i="13"/>
  <c r="F48" i="14"/>
  <c r="G48" i="14"/>
  <c r="F77" i="12"/>
  <c r="G77" i="12"/>
  <c r="G23" i="19"/>
  <c r="F23" i="19"/>
  <c r="G66" i="16"/>
  <c r="F66" i="16"/>
  <c r="F75" i="19"/>
  <c r="G75" i="19"/>
  <c r="F83" i="13"/>
  <c r="G83" i="13"/>
  <c r="G62" i="13"/>
  <c r="F62" i="13"/>
  <c r="F56" i="16"/>
  <c r="G56" i="16"/>
  <c r="G24" i="16"/>
  <c r="F24" i="16"/>
  <c r="G19" i="13"/>
  <c r="I19" i="13" s="1"/>
  <c r="J19" i="13" s="1"/>
  <c r="F19" i="13"/>
  <c r="H19" i="13" s="1"/>
  <c r="G39" i="15"/>
  <c r="F39" i="15"/>
  <c r="G25" i="17"/>
  <c r="F25" i="17"/>
  <c r="N69" i="9"/>
  <c r="G26" i="15"/>
  <c r="F26" i="15"/>
  <c r="G40" i="16"/>
  <c r="F40" i="16"/>
  <c r="F31" i="12"/>
  <c r="G31" i="12"/>
  <c r="F71" i="16"/>
  <c r="G71" i="16"/>
  <c r="G42" i="13"/>
  <c r="F42" i="13"/>
  <c r="G54" i="17"/>
  <c r="F54" i="17"/>
  <c r="G57" i="15"/>
  <c r="F57" i="15"/>
  <c r="N78" i="9"/>
  <c r="F59" i="19"/>
  <c r="G59" i="19"/>
  <c r="G37" i="16"/>
  <c r="F37" i="16"/>
  <c r="G62" i="17"/>
  <c r="F62" i="17"/>
  <c r="F23" i="16"/>
  <c r="G23" i="16"/>
  <c r="F80" i="16"/>
  <c r="G80" i="16"/>
  <c r="F21" i="13"/>
  <c r="G21" i="13"/>
  <c r="N30" i="9"/>
  <c r="G70" i="17"/>
  <c r="F70" i="17"/>
  <c r="G50" i="13"/>
  <c r="F50" i="13"/>
  <c r="G78" i="13"/>
  <c r="F78" i="13"/>
  <c r="G82" i="17"/>
  <c r="F82" i="17"/>
  <c r="G28" i="13"/>
  <c r="F28" i="13"/>
  <c r="G77" i="17"/>
  <c r="F77" i="17"/>
  <c r="G43" i="12"/>
  <c r="F43" i="12"/>
  <c r="F49" i="19"/>
  <c r="G49" i="19"/>
  <c r="G32" i="12"/>
  <c r="F32" i="12"/>
  <c r="F27" i="17"/>
  <c r="G27" i="17"/>
  <c r="F84" i="14"/>
  <c r="G84" i="14"/>
  <c r="G22" i="13"/>
  <c r="F22" i="13"/>
  <c r="G28" i="12"/>
  <c r="F28" i="12"/>
  <c r="F59" i="15"/>
  <c r="G59" i="15"/>
  <c r="G72" i="19"/>
  <c r="F72" i="19"/>
  <c r="G26" i="12"/>
  <c r="F26" i="12"/>
  <c r="F52" i="16"/>
  <c r="G52" i="16"/>
  <c r="F40" i="12"/>
  <c r="G40" i="12"/>
  <c r="G63" i="15"/>
  <c r="F63" i="15"/>
  <c r="G80" i="13"/>
  <c r="F80" i="13"/>
  <c r="F32" i="13"/>
  <c r="G32" i="13"/>
  <c r="F27" i="19"/>
  <c r="G27" i="19"/>
  <c r="G55" i="19"/>
  <c r="F55" i="19"/>
  <c r="G37" i="12"/>
  <c r="F37" i="12"/>
  <c r="G77" i="16"/>
  <c r="F77" i="16"/>
  <c r="G38" i="14"/>
  <c r="F38" i="14"/>
  <c r="F61" i="15"/>
  <c r="G61" i="15"/>
  <c r="G52" i="15"/>
  <c r="F52" i="15"/>
  <c r="G30" i="17"/>
  <c r="F30" i="17"/>
  <c r="F48" i="12"/>
  <c r="G48" i="12"/>
  <c r="G58" i="14"/>
  <c r="F58" i="14"/>
  <c r="N76" i="9"/>
  <c r="G82" i="16"/>
  <c r="F82" i="16"/>
  <c r="G66" i="12"/>
  <c r="F66" i="12"/>
  <c r="F67" i="17"/>
  <c r="G67" i="17"/>
  <c r="G62" i="15"/>
  <c r="F62" i="15"/>
  <c r="G56" i="19"/>
  <c r="F56" i="19"/>
  <c r="G29" i="13"/>
  <c r="F29" i="13"/>
  <c r="G42" i="16"/>
  <c r="F42" i="16"/>
  <c r="G54" i="12"/>
  <c r="F54" i="12"/>
  <c r="G21" i="17"/>
  <c r="F21" i="17"/>
  <c r="G67" i="16"/>
  <c r="F67" i="16"/>
  <c r="G50" i="17"/>
  <c r="F50" i="17"/>
  <c r="F55" i="16"/>
  <c r="G55" i="16"/>
  <c r="G62" i="12"/>
  <c r="F62" i="12"/>
  <c r="G36" i="14"/>
  <c r="F36" i="14"/>
  <c r="G72" i="16"/>
  <c r="F72" i="16"/>
  <c r="G19" i="14"/>
  <c r="I19" i="14" s="1"/>
  <c r="J19" i="14" s="1"/>
  <c r="F19" i="14"/>
  <c r="H19" i="14" s="1"/>
  <c r="F67" i="15"/>
  <c r="G67" i="15"/>
  <c r="G34" i="14"/>
  <c r="F34" i="14"/>
  <c r="F39" i="16"/>
  <c r="G39" i="16"/>
  <c r="N79" i="9"/>
  <c r="N35" i="9"/>
  <c r="G61" i="13"/>
  <c r="F61" i="13"/>
  <c r="G53" i="13"/>
  <c r="F53" i="13"/>
  <c r="I21" i="20"/>
  <c r="J21" i="20" s="1"/>
  <c r="K17" i="7" s="1"/>
  <c r="G42" i="14"/>
  <c r="F42" i="14"/>
  <c r="G57" i="16"/>
  <c r="F57" i="16"/>
  <c r="F73" i="13"/>
  <c r="G73" i="13"/>
  <c r="G47" i="19"/>
  <c r="F47" i="19"/>
  <c r="F59" i="17"/>
  <c r="G59" i="17"/>
  <c r="F72" i="12"/>
  <c r="G72" i="12"/>
  <c r="F31" i="17"/>
  <c r="G31" i="17"/>
  <c r="G43" i="14"/>
  <c r="F43" i="14"/>
  <c r="F41" i="16"/>
  <c r="G41" i="16"/>
  <c r="I20" i="20"/>
  <c r="J20" i="20" s="1"/>
  <c r="K16" i="7" s="1"/>
  <c r="G49" i="14"/>
  <c r="F49" i="14"/>
  <c r="N32" i="9"/>
  <c r="G74" i="19"/>
  <c r="F74" i="19"/>
  <c r="F44" i="16"/>
  <c r="G44" i="16"/>
  <c r="F46" i="19"/>
  <c r="G46" i="19"/>
  <c r="G83" i="19"/>
  <c r="F83" i="19"/>
  <c r="G81" i="12"/>
  <c r="F81" i="12"/>
  <c r="F48" i="16"/>
  <c r="G48" i="16"/>
  <c r="F43" i="19"/>
  <c r="G43" i="19"/>
  <c r="G56" i="14"/>
  <c r="F56" i="14"/>
  <c r="G24" i="14"/>
  <c r="F24" i="14"/>
  <c r="N72" i="9"/>
  <c r="F39" i="14"/>
  <c r="G39" i="14"/>
  <c r="F33" i="15"/>
  <c r="G33" i="15"/>
  <c r="N52" i="9"/>
  <c r="G37" i="14"/>
  <c r="F37" i="14"/>
  <c r="G80" i="15"/>
  <c r="F80" i="15"/>
  <c r="G41" i="14"/>
  <c r="F41" i="14"/>
  <c r="F47" i="14"/>
  <c r="G47" i="14"/>
  <c r="N21" i="9"/>
  <c r="F68" i="19"/>
  <c r="G68" i="19"/>
  <c r="N36" i="9"/>
  <c r="G47" i="15"/>
  <c r="F47" i="15"/>
  <c r="G25" i="14"/>
  <c r="F25" i="14"/>
  <c r="G69" i="13"/>
  <c r="F69" i="13"/>
  <c r="N68" i="9"/>
  <c r="G46" i="15"/>
  <c r="F46" i="15"/>
  <c r="G75" i="17"/>
  <c r="F75" i="17"/>
  <c r="G68" i="16"/>
  <c r="F68" i="16"/>
  <c r="F74" i="16"/>
  <c r="G74" i="16"/>
  <c r="G50" i="19"/>
  <c r="F50" i="19"/>
  <c r="N66" i="9"/>
  <c r="F20" i="15"/>
  <c r="G20" i="15"/>
  <c r="F36" i="17"/>
  <c r="G36" i="17"/>
  <c r="F21" i="19"/>
  <c r="G21" i="19"/>
  <c r="F32" i="19"/>
  <c r="G32" i="19"/>
  <c r="G26" i="17"/>
  <c r="F26" i="17"/>
  <c r="G62" i="19"/>
  <c r="F62" i="19"/>
  <c r="G70" i="19"/>
  <c r="F70" i="19"/>
  <c r="G84" i="15"/>
  <c r="F84" i="15"/>
  <c r="G85" i="14"/>
  <c r="F85" i="14"/>
  <c r="G35" i="15"/>
  <c r="F35" i="15"/>
  <c r="F79" i="17"/>
  <c r="G79" i="17"/>
  <c r="G30" i="19"/>
  <c r="F30" i="19"/>
  <c r="F64" i="15"/>
  <c r="G64" i="15"/>
  <c r="G43" i="16"/>
  <c r="F43" i="16"/>
  <c r="G76" i="15"/>
  <c r="F76" i="15"/>
  <c r="F32" i="17"/>
  <c r="G32" i="17"/>
  <c r="G13" i="8"/>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F84" i="19"/>
  <c r="G84" i="19"/>
  <c r="G50" i="16"/>
  <c r="F50" i="16"/>
  <c r="F78" i="16"/>
  <c r="G78" i="16"/>
  <c r="G82" i="12"/>
  <c r="F82" i="12"/>
  <c r="G37" i="17"/>
  <c r="F37" i="17"/>
  <c r="G52" i="13"/>
  <c r="F52" i="13"/>
  <c r="G36" i="13"/>
  <c r="F36" i="13"/>
  <c r="G38" i="12"/>
  <c r="F38" i="12"/>
  <c r="G51" i="19"/>
  <c r="F51" i="19"/>
  <c r="G59" i="13"/>
  <c r="F59" i="13"/>
  <c r="F71" i="17"/>
  <c r="G71" i="17"/>
  <c r="G54" i="19"/>
  <c r="F54" i="19"/>
  <c r="G21" i="16"/>
  <c r="F21" i="16"/>
  <c r="C51" i="8"/>
  <c r="N55" i="9"/>
  <c r="N71" i="9"/>
  <c r="F83" i="17"/>
  <c r="G83" i="17"/>
  <c r="F85" i="15"/>
  <c r="G85" i="15"/>
  <c r="N73" i="9"/>
  <c r="F80" i="17"/>
  <c r="G80" i="17"/>
  <c r="N50" i="9"/>
  <c r="G27" i="16"/>
  <c r="F27" i="16"/>
  <c r="G79" i="19"/>
  <c r="F79" i="19"/>
  <c r="G35" i="12"/>
  <c r="F35" i="12"/>
  <c r="G30" i="14"/>
  <c r="F30" i="14"/>
  <c r="F34" i="15"/>
  <c r="G34" i="15"/>
  <c r="G50" i="14"/>
  <c r="F50" i="14"/>
  <c r="G78" i="15"/>
  <c r="F78" i="15"/>
  <c r="F33" i="16"/>
  <c r="G33" i="16"/>
  <c r="G72" i="13"/>
  <c r="F72" i="13"/>
  <c r="G77" i="19"/>
  <c r="F77" i="19"/>
  <c r="G38" i="19"/>
  <c r="F38" i="19"/>
  <c r="G77" i="14"/>
  <c r="F77" i="14"/>
  <c r="G29" i="17"/>
  <c r="F29" i="17"/>
  <c r="G75" i="12"/>
  <c r="F75" i="12"/>
  <c r="G57" i="14"/>
  <c r="F57" i="14"/>
  <c r="N70" i="9"/>
  <c r="F55" i="12"/>
  <c r="G55" i="12"/>
  <c r="G52" i="19"/>
  <c r="F52" i="19"/>
  <c r="G36" i="19"/>
  <c r="F36" i="19"/>
  <c r="G66" i="13"/>
  <c r="F66" i="13"/>
  <c r="N53" i="9"/>
  <c r="F24" i="12"/>
  <c r="G24" i="12"/>
  <c r="F19" i="17"/>
  <c r="H19" i="17" s="1"/>
  <c r="G19" i="17"/>
  <c r="I19" i="17" s="1"/>
  <c r="J19" i="17" s="1"/>
  <c r="H15" i="7" s="1"/>
  <c r="F73" i="19"/>
  <c r="G73" i="19"/>
  <c r="F39" i="12"/>
  <c r="G39" i="12"/>
  <c r="F85" i="13"/>
  <c r="G85" i="13"/>
  <c r="G31" i="13"/>
  <c r="F31" i="13"/>
  <c r="F71" i="12"/>
  <c r="G71" i="12"/>
  <c r="F24" i="13"/>
  <c r="G24" i="13"/>
  <c r="G19" i="19"/>
  <c r="I19" i="19" s="1"/>
  <c r="J19" i="19" s="1"/>
  <c r="F19" i="19"/>
  <c r="H19" i="19" s="1"/>
  <c r="N27" i="9"/>
  <c r="G69" i="12"/>
  <c r="F69" i="12"/>
  <c r="G64" i="17"/>
  <c r="F64" i="17"/>
  <c r="F52" i="17"/>
  <c r="G52" i="17"/>
  <c r="N81" i="9"/>
  <c r="G45" i="14"/>
  <c r="F45" i="14"/>
  <c r="G59" i="12"/>
  <c r="F59" i="12"/>
  <c r="G35" i="14"/>
  <c r="F35" i="14"/>
  <c r="G20" i="12"/>
  <c r="F20" i="12"/>
  <c r="G82" i="14"/>
  <c r="F82" i="14"/>
  <c r="G42" i="19"/>
  <c r="F42" i="19"/>
  <c r="G43" i="17"/>
  <c r="F43" i="17"/>
  <c r="F64" i="16"/>
  <c r="G64" i="16"/>
  <c r="G49" i="17"/>
  <c r="F49" i="17"/>
  <c r="G65" i="12"/>
  <c r="F65" i="12"/>
  <c r="G70" i="13"/>
  <c r="F70" i="13"/>
  <c r="G25" i="12"/>
  <c r="F25" i="12"/>
  <c r="F69" i="19"/>
  <c r="G69" i="19"/>
  <c r="G37" i="19"/>
  <c r="F37" i="19"/>
  <c r="G77" i="13"/>
  <c r="F77" i="13"/>
  <c r="F41" i="19"/>
  <c r="G41" i="19"/>
  <c r="G67" i="19"/>
  <c r="F67" i="19"/>
  <c r="N26" i="9"/>
  <c r="N67" i="9"/>
  <c r="C44" i="8"/>
  <c r="N48" i="9"/>
  <c r="G74" i="13"/>
  <c r="F74" i="13"/>
  <c r="B15" i="5"/>
  <c r="B22" i="18"/>
  <c r="B22" i="17"/>
  <c r="A22" i="19"/>
  <c r="B22" i="20"/>
  <c r="B22" i="15"/>
  <c r="B22" i="14"/>
  <c r="B22" i="16"/>
  <c r="B22" i="13"/>
  <c r="B22" i="12"/>
  <c r="F55" i="15"/>
  <c r="G55" i="15"/>
  <c r="F72" i="14"/>
  <c r="G72" i="14"/>
  <c r="N42" i="9"/>
  <c r="G38" i="15"/>
  <c r="F38" i="15"/>
  <c r="F49" i="15"/>
  <c r="G49" i="15"/>
  <c r="G67" i="14"/>
  <c r="F67" i="14"/>
  <c r="G58" i="13"/>
  <c r="F58" i="13"/>
  <c r="F74" i="12"/>
  <c r="G74" i="12"/>
  <c r="G44" i="19"/>
  <c r="F44" i="19"/>
  <c r="G50" i="15"/>
  <c r="F50" i="15"/>
  <c r="F78" i="14"/>
  <c r="G78" i="14"/>
  <c r="F82" i="19"/>
  <c r="G82" i="19"/>
  <c r="G58" i="16"/>
  <c r="F58" i="16"/>
  <c r="G33" i="17"/>
  <c r="F33" i="17"/>
  <c r="G76" i="12"/>
  <c r="F76" i="12"/>
  <c r="F23" i="17"/>
  <c r="G23" i="17"/>
  <c r="G66" i="15"/>
  <c r="F66" i="15"/>
  <c r="N58" i="9"/>
  <c r="G53" i="12"/>
  <c r="F53" i="12"/>
  <c r="G32" i="15"/>
  <c r="F32" i="15"/>
  <c r="N24" i="9"/>
  <c r="F65" i="16"/>
  <c r="G65" i="16"/>
  <c r="F67" i="13"/>
  <c r="G67" i="13"/>
  <c r="F33" i="13"/>
  <c r="G33" i="13"/>
  <c r="F55" i="14"/>
  <c r="G55" i="14"/>
  <c r="G26" i="14"/>
  <c r="F26" i="14"/>
  <c r="G40" i="15"/>
  <c r="F40" i="15"/>
  <c r="F71" i="15"/>
  <c r="G71" i="15"/>
  <c r="N39" i="9"/>
  <c r="F65" i="15"/>
  <c r="G65" i="15"/>
  <c r="G73" i="12"/>
  <c r="F73" i="12"/>
  <c r="F25" i="15"/>
  <c r="G25" i="15"/>
  <c r="G69" i="14"/>
  <c r="F69" i="14"/>
  <c r="F40" i="14"/>
  <c r="G40" i="14"/>
  <c r="N20" i="9"/>
  <c r="F56" i="12"/>
  <c r="G56" i="12"/>
  <c r="G54" i="14"/>
  <c r="F54" i="14"/>
  <c r="N18" i="9"/>
  <c r="G57" i="13"/>
  <c r="F57" i="13"/>
  <c r="G44" i="15"/>
  <c r="F44" i="15"/>
  <c r="G81" i="17"/>
  <c r="F81" i="17"/>
  <c r="F80" i="14"/>
  <c r="G80" i="14"/>
  <c r="F56" i="13"/>
  <c r="G56" i="13"/>
  <c r="G54" i="15"/>
  <c r="F54" i="15"/>
  <c r="G30" i="12"/>
  <c r="F30" i="12"/>
  <c r="G25" i="13"/>
  <c r="F25" i="13"/>
  <c r="G59" i="14"/>
  <c r="F59" i="14"/>
  <c r="F72" i="17"/>
  <c r="G72" i="17"/>
  <c r="G45" i="16"/>
  <c r="F45" i="16"/>
  <c r="G40" i="13"/>
  <c r="F40" i="13"/>
  <c r="F63" i="13"/>
  <c r="G63" i="13"/>
  <c r="G84" i="12"/>
  <c r="F84" i="12"/>
  <c r="G39" i="19"/>
  <c r="F39" i="19"/>
  <c r="I22" i="20"/>
  <c r="J22" i="20" s="1"/>
  <c r="K18" i="7" s="1"/>
  <c r="I22" i="18"/>
  <c r="J22" i="18" s="1"/>
  <c r="I18" i="7" s="1"/>
  <c r="H22" i="18"/>
  <c r="B92" i="18" l="1"/>
  <c r="B92" i="20"/>
  <c r="B92" i="13"/>
  <c r="B92" i="16"/>
  <c r="B85" i="5"/>
  <c r="B92" i="12"/>
  <c r="B92" i="14"/>
  <c r="B92" i="15"/>
  <c r="B92" i="17"/>
  <c r="O17" i="9"/>
  <c r="O18" i="9" s="1"/>
  <c r="O19" i="9" s="1"/>
  <c r="O20" i="9" s="1"/>
  <c r="O21" i="9" s="1"/>
  <c r="O22" i="9" s="1"/>
  <c r="O23" i="9" s="1"/>
  <c r="O24" i="9" s="1"/>
  <c r="O25" i="9" s="1"/>
  <c r="O26" i="9" s="1"/>
  <c r="O27" i="9" s="1"/>
  <c r="O28" i="9" s="1"/>
  <c r="O29" i="9" s="1"/>
  <c r="O30" i="9" s="1"/>
  <c r="O31" i="9" s="1"/>
  <c r="O32" i="9" s="1"/>
  <c r="O33" i="9" s="1"/>
  <c r="O34" i="9" s="1"/>
  <c r="O35" i="9" s="1"/>
  <c r="O36" i="9" s="1"/>
  <c r="O37" i="9" s="1"/>
  <c r="O38" i="9" s="1"/>
  <c r="O39" i="9" s="1"/>
  <c r="O40" i="9" s="1"/>
  <c r="O41" i="9" s="1"/>
  <c r="O42" i="9" s="1"/>
  <c r="O43" i="9" s="1"/>
  <c r="O44" i="9" s="1"/>
  <c r="O45" i="9" s="1"/>
  <c r="O46" i="9" s="1"/>
  <c r="O47" i="9" s="1"/>
  <c r="O48" i="9" s="1"/>
  <c r="O49" i="9" s="1"/>
  <c r="O50" i="9" s="1"/>
  <c r="O51" i="9" s="1"/>
  <c r="O52" i="9" s="1"/>
  <c r="O53" i="9" s="1"/>
  <c r="O54" i="9" s="1"/>
  <c r="O55" i="9" s="1"/>
  <c r="O56" i="9" s="1"/>
  <c r="O57" i="9" s="1"/>
  <c r="O58" i="9" s="1"/>
  <c r="O59" i="9" s="1"/>
  <c r="O60" i="9" s="1"/>
  <c r="O61" i="9" s="1"/>
  <c r="O62" i="9" s="1"/>
  <c r="O63" i="9" s="1"/>
  <c r="O64" i="9" s="1"/>
  <c r="O65" i="9" s="1"/>
  <c r="O66" i="9" s="1"/>
  <c r="O67" i="9" s="1"/>
  <c r="O68" i="9" s="1"/>
  <c r="O69" i="9" s="1"/>
  <c r="O70" i="9" s="1"/>
  <c r="O71" i="9" s="1"/>
  <c r="O72" i="9" s="1"/>
  <c r="O73" i="9" s="1"/>
  <c r="O74" i="9" s="1"/>
  <c r="O75" i="9" s="1"/>
  <c r="O76" i="9" s="1"/>
  <c r="O77" i="9" s="1"/>
  <c r="O78" i="9" s="1"/>
  <c r="O79" i="9" s="1"/>
  <c r="O80" i="9" s="1"/>
  <c r="O81" i="9" s="1"/>
  <c r="O82" i="9" s="1"/>
  <c r="O83" i="9" s="1"/>
  <c r="O84" i="9" s="1"/>
  <c r="O85" i="9" s="1"/>
  <c r="O86" i="9" s="1"/>
  <c r="O87" i="9" s="1"/>
  <c r="O88" i="9" s="1"/>
  <c r="O89" i="9" s="1"/>
  <c r="O90" i="9" s="1"/>
  <c r="O91" i="9" s="1"/>
  <c r="O92" i="9" s="1"/>
  <c r="O93" i="9" s="1"/>
  <c r="O94" i="9" s="1"/>
  <c r="O95" i="9" s="1"/>
  <c r="O96" i="9" s="1"/>
  <c r="O97" i="9" s="1"/>
  <c r="O98" i="9" s="1"/>
  <c r="O99" i="9" s="1"/>
  <c r="O100" i="9" s="1"/>
  <c r="O101" i="9" s="1"/>
  <c r="O102" i="9" s="1"/>
  <c r="O103" i="9" s="1"/>
  <c r="O104" i="9" s="1"/>
  <c r="O105" i="9" s="1"/>
  <c r="O106" i="9" s="1"/>
  <c r="H20" i="12"/>
  <c r="I21" i="12" s="1"/>
  <c r="J21" i="12" s="1"/>
  <c r="C17" i="7" s="1"/>
  <c r="H20" i="15"/>
  <c r="I21" i="15" s="1"/>
  <c r="J21" i="15" s="1"/>
  <c r="L14" i="8" s="1"/>
  <c r="I20" i="19"/>
  <c r="J20" i="19" s="1"/>
  <c r="I20" i="13"/>
  <c r="J20" i="13" s="1"/>
  <c r="D16" i="7" s="1"/>
  <c r="H20" i="17"/>
  <c r="H21" i="17" s="1"/>
  <c r="I20" i="14"/>
  <c r="J20" i="14" s="1"/>
  <c r="E16" i="7" s="1"/>
  <c r="D15" i="7"/>
  <c r="J12" i="8"/>
  <c r="I20" i="15"/>
  <c r="J20" i="15" s="1"/>
  <c r="I20" i="12"/>
  <c r="J20" i="12" s="1"/>
  <c r="C16" i="7" s="1"/>
  <c r="F15" i="7"/>
  <c r="L12" i="8"/>
  <c r="I20" i="17"/>
  <c r="J20" i="17" s="1"/>
  <c r="H16" i="7" s="1"/>
  <c r="I20" i="16"/>
  <c r="J20" i="16" s="1"/>
  <c r="G16" i="7" s="1"/>
  <c r="H20" i="16"/>
  <c r="I21" i="16" s="1"/>
  <c r="J21" i="16" s="1"/>
  <c r="G17" i="7" s="1"/>
  <c r="F44" i="8"/>
  <c r="F45" i="8" s="1"/>
  <c r="F46" i="8" s="1"/>
  <c r="F47" i="8" s="1"/>
  <c r="F48" i="8" s="1"/>
  <c r="F49" i="8" s="1"/>
  <c r="F50" i="8" s="1"/>
  <c r="F51" i="8" s="1"/>
  <c r="F52" i="8" s="1"/>
  <c r="F53" i="8" s="1"/>
  <c r="F54" i="8" s="1"/>
  <c r="F55" i="8" s="1"/>
  <c r="F56" i="8" s="1"/>
  <c r="F57" i="8" s="1"/>
  <c r="F58" i="8" s="1"/>
  <c r="F59" i="8" s="1"/>
  <c r="F60" i="8" s="1"/>
  <c r="F61" i="8" s="1"/>
  <c r="F62" i="8" s="1"/>
  <c r="F63" i="8" s="1"/>
  <c r="F64" i="8" s="1"/>
  <c r="F65" i="8" s="1"/>
  <c r="F66" i="8" s="1"/>
  <c r="F67" i="8" s="1"/>
  <c r="F68" i="8" s="1"/>
  <c r="F69" i="8" s="1"/>
  <c r="F70" i="8" s="1"/>
  <c r="F71" i="8" s="1"/>
  <c r="F72" i="8" s="1"/>
  <c r="F73" i="8" s="1"/>
  <c r="F74" i="8" s="1"/>
  <c r="F75" i="8" s="1"/>
  <c r="F76" i="8" s="1"/>
  <c r="F77" i="8" s="1"/>
  <c r="F78" i="8" s="1"/>
  <c r="F79" i="8" s="1"/>
  <c r="F80" i="8" s="1"/>
  <c r="F81" i="8" s="1"/>
  <c r="F82" i="8" s="1"/>
  <c r="F83" i="8" s="1"/>
  <c r="F84" i="8" s="1"/>
  <c r="F85" i="8" s="1"/>
  <c r="F86" i="8" s="1"/>
  <c r="F87" i="8" s="1"/>
  <c r="F88" i="8" s="1"/>
  <c r="F89" i="8" s="1"/>
  <c r="F90" i="8" s="1"/>
  <c r="F91" i="8" s="1"/>
  <c r="F92" i="8" s="1"/>
  <c r="F93" i="8" s="1"/>
  <c r="F94" i="8" s="1"/>
  <c r="F95" i="8" s="1"/>
  <c r="F96" i="8" s="1"/>
  <c r="F97" i="8" s="1"/>
  <c r="F98" i="8" s="1"/>
  <c r="F99" i="8" s="1"/>
  <c r="F100" i="8" s="1"/>
  <c r="F101" i="8" s="1"/>
  <c r="F102" i="8" s="1"/>
  <c r="H20" i="14"/>
  <c r="I21" i="14" s="1"/>
  <c r="J21" i="14" s="1"/>
  <c r="H20" i="13"/>
  <c r="B16" i="5"/>
  <c r="B23" i="17"/>
  <c r="B23" i="20"/>
  <c r="B23" i="18"/>
  <c r="A23" i="19"/>
  <c r="B23" i="15"/>
  <c r="B23" i="14"/>
  <c r="B23" i="16"/>
  <c r="B23" i="13"/>
  <c r="B23" i="12"/>
  <c r="K12" i="8"/>
  <c r="E15" i="7"/>
  <c r="H20" i="19"/>
  <c r="I21" i="19" s="1"/>
  <c r="J21" i="19" s="1"/>
  <c r="I23" i="20"/>
  <c r="J23" i="20" s="1"/>
  <c r="K19" i="7" s="1"/>
  <c r="H23" i="20"/>
  <c r="I23" i="18"/>
  <c r="J23" i="18" s="1"/>
  <c r="I19" i="7" s="1"/>
  <c r="H23" i="18"/>
  <c r="B93" i="12" l="1"/>
  <c r="B93" i="17"/>
  <c r="B93" i="18"/>
  <c r="B93" i="14"/>
  <c r="B93" i="16"/>
  <c r="B93" i="13"/>
  <c r="B93" i="15"/>
  <c r="B86" i="5"/>
  <c r="B93" i="20"/>
  <c r="I21" i="17"/>
  <c r="J21" i="17" s="1"/>
  <c r="H17" i="7" s="1"/>
  <c r="H21" i="12"/>
  <c r="H21" i="15"/>
  <c r="I22" i="15" s="1"/>
  <c r="J22" i="15" s="1"/>
  <c r="J13" i="8"/>
  <c r="K13" i="8"/>
  <c r="H21" i="16"/>
  <c r="H22" i="16" s="1"/>
  <c r="F17" i="7"/>
  <c r="H21" i="14"/>
  <c r="H22" i="14" s="1"/>
  <c r="L15" i="7"/>
  <c r="O15" i="7" s="1"/>
  <c r="H22" i="17"/>
  <c r="I22" i="17"/>
  <c r="J22" i="17" s="1"/>
  <c r="H18" i="7" s="1"/>
  <c r="B17" i="5"/>
  <c r="B24" i="20"/>
  <c r="A24" i="19"/>
  <c r="B24" i="15"/>
  <c r="B24" i="18"/>
  <c r="B24" i="14"/>
  <c r="B24" i="16"/>
  <c r="B24" i="17"/>
  <c r="B24" i="13"/>
  <c r="B24" i="12"/>
  <c r="H21" i="13"/>
  <c r="I21" i="13"/>
  <c r="J21" i="13" s="1"/>
  <c r="I22" i="16"/>
  <c r="J22" i="16" s="1"/>
  <c r="G18" i="7" s="1"/>
  <c r="H21" i="19"/>
  <c r="F16" i="7"/>
  <c r="L16" i="7" s="1"/>
  <c r="L13" i="8"/>
  <c r="K14" i="8"/>
  <c r="E17" i="7"/>
  <c r="I24" i="20"/>
  <c r="J24" i="20" s="1"/>
  <c r="K20" i="7" s="1"/>
  <c r="H24" i="20"/>
  <c r="I24" i="18"/>
  <c r="J24" i="18" s="1"/>
  <c r="I20" i="7" s="1"/>
  <c r="H24" i="18"/>
  <c r="B94" i="20" l="1"/>
  <c r="B87" i="5"/>
  <c r="B94" i="13"/>
  <c r="B94" i="14"/>
  <c r="B94" i="15"/>
  <c r="B94" i="16"/>
  <c r="B94" i="17"/>
  <c r="B94" i="18"/>
  <c r="B94" i="12"/>
  <c r="H22" i="15"/>
  <c r="H23" i="15" s="1"/>
  <c r="I22" i="12"/>
  <c r="J22" i="12" s="1"/>
  <c r="C18" i="7" s="1"/>
  <c r="H22" i="12"/>
  <c r="I22" i="14"/>
  <c r="J22" i="14" s="1"/>
  <c r="E18" i="7" s="1"/>
  <c r="E12" i="6"/>
  <c r="O16" i="7"/>
  <c r="E13" i="6"/>
  <c r="O13" i="8" s="1"/>
  <c r="J14" i="8"/>
  <c r="D17" i="7"/>
  <c r="L17" i="7" s="1"/>
  <c r="I22" i="19"/>
  <c r="J22" i="19" s="1"/>
  <c r="H22" i="19"/>
  <c r="I22" i="13"/>
  <c r="J22" i="13" s="1"/>
  <c r="H22" i="13"/>
  <c r="I23" i="17"/>
  <c r="J23" i="17" s="1"/>
  <c r="H19" i="7" s="1"/>
  <c r="H23" i="17"/>
  <c r="H23" i="16"/>
  <c r="I23" i="16"/>
  <c r="J23" i="16" s="1"/>
  <c r="G19" i="7" s="1"/>
  <c r="H23" i="14"/>
  <c r="I23" i="14"/>
  <c r="J23" i="14" s="1"/>
  <c r="L15" i="8"/>
  <c r="F18" i="7"/>
  <c r="K15" i="8"/>
  <c r="B18" i="5"/>
  <c r="A25" i="19"/>
  <c r="B25" i="18"/>
  <c r="B25" i="20"/>
  <c r="B25" i="16"/>
  <c r="B25" i="14"/>
  <c r="B25" i="13"/>
  <c r="B25" i="17"/>
  <c r="B25" i="15"/>
  <c r="B25" i="12"/>
  <c r="I25" i="20"/>
  <c r="J25" i="20" s="1"/>
  <c r="K21" i="7" s="1"/>
  <c r="H25" i="20"/>
  <c r="I25" i="18"/>
  <c r="J25" i="18" s="1"/>
  <c r="I21" i="7" s="1"/>
  <c r="H25" i="18"/>
  <c r="B95" i="20" l="1"/>
  <c r="B95" i="12"/>
  <c r="B95" i="18"/>
  <c r="B88" i="5"/>
  <c r="B95" i="13"/>
  <c r="B95" i="14"/>
  <c r="B95" i="15"/>
  <c r="B95" i="16"/>
  <c r="B95" i="17"/>
  <c r="I23" i="15"/>
  <c r="J23" i="15" s="1"/>
  <c r="L16" i="8" s="1"/>
  <c r="I23" i="12"/>
  <c r="J23" i="12" s="1"/>
  <c r="C19" i="7" s="1"/>
  <c r="H23" i="12"/>
  <c r="O12" i="8"/>
  <c r="M12" i="8"/>
  <c r="N12" i="8"/>
  <c r="I24" i="16"/>
  <c r="J24" i="16" s="1"/>
  <c r="G20" i="7" s="1"/>
  <c r="H24" i="16"/>
  <c r="I24" i="17"/>
  <c r="J24" i="17" s="1"/>
  <c r="H20" i="7" s="1"/>
  <c r="H24" i="17"/>
  <c r="O17" i="7"/>
  <c r="E14" i="6"/>
  <c r="M14" i="8" s="1"/>
  <c r="E19" i="7"/>
  <c r="K16" i="8"/>
  <c r="I23" i="13"/>
  <c r="J23" i="13" s="1"/>
  <c r="H23" i="13"/>
  <c r="I24" i="14"/>
  <c r="J24" i="14" s="1"/>
  <c r="H24" i="14"/>
  <c r="J15" i="8"/>
  <c r="D18" i="7"/>
  <c r="L18" i="7" s="1"/>
  <c r="N13" i="8"/>
  <c r="M13" i="8"/>
  <c r="B19" i="5"/>
  <c r="B26" i="18"/>
  <c r="B26" i="17"/>
  <c r="A26" i="19"/>
  <c r="B26" i="14"/>
  <c r="B26" i="16"/>
  <c r="B26" i="15"/>
  <c r="B26" i="20"/>
  <c r="B26" i="12"/>
  <c r="B26" i="13"/>
  <c r="H24" i="15"/>
  <c r="I24" i="15"/>
  <c r="J24" i="15" s="1"/>
  <c r="I23" i="19"/>
  <c r="J23" i="19" s="1"/>
  <c r="H23" i="19"/>
  <c r="I26" i="20"/>
  <c r="J26" i="20" s="1"/>
  <c r="K22" i="7" s="1"/>
  <c r="H26" i="20"/>
  <c r="I26" i="18"/>
  <c r="J26" i="18" s="1"/>
  <c r="I22" i="7" s="1"/>
  <c r="H26" i="18"/>
  <c r="B96" i="18" l="1"/>
  <c r="B96" i="12"/>
  <c r="B89" i="5"/>
  <c r="B96" i="13"/>
  <c r="B96" i="14"/>
  <c r="B96" i="15"/>
  <c r="B96" i="16"/>
  <c r="B96" i="17"/>
  <c r="B96" i="20"/>
  <c r="F19" i="7"/>
  <c r="I24" i="12"/>
  <c r="J24" i="12" s="1"/>
  <c r="C20" i="7" s="1"/>
  <c r="H24" i="12"/>
  <c r="I24" i="19"/>
  <c r="J24" i="19" s="1"/>
  <c r="H24" i="19"/>
  <c r="O18" i="7"/>
  <c r="E15" i="6"/>
  <c r="M15" i="8" s="1"/>
  <c r="L17" i="8"/>
  <c r="F20" i="7"/>
  <c r="H25" i="14"/>
  <c r="I25" i="14"/>
  <c r="J25" i="14" s="1"/>
  <c r="O14" i="8"/>
  <c r="N14" i="8"/>
  <c r="I25" i="16"/>
  <c r="J25" i="16" s="1"/>
  <c r="G21" i="7" s="1"/>
  <c r="H25" i="16"/>
  <c r="I25" i="15"/>
  <c r="J25" i="15" s="1"/>
  <c r="H25" i="15"/>
  <c r="K17" i="8"/>
  <c r="E20" i="7"/>
  <c r="I24" i="13"/>
  <c r="J24" i="13" s="1"/>
  <c r="H24" i="13"/>
  <c r="I25" i="17"/>
  <c r="J25" i="17" s="1"/>
  <c r="H21" i="7" s="1"/>
  <c r="H25" i="17"/>
  <c r="B20" i="5"/>
  <c r="B27" i="17"/>
  <c r="B27" i="20"/>
  <c r="B27" i="18"/>
  <c r="B27" i="16"/>
  <c r="B27" i="15"/>
  <c r="A27" i="19"/>
  <c r="B27" i="12"/>
  <c r="B27" i="13"/>
  <c r="B27" i="14"/>
  <c r="J16" i="8"/>
  <c r="D19" i="7"/>
  <c r="L19" i="7" s="1"/>
  <c r="I27" i="20"/>
  <c r="J27" i="20" s="1"/>
  <c r="K23" i="7" s="1"/>
  <c r="H27" i="20"/>
  <c r="I27" i="18"/>
  <c r="J27" i="18" s="1"/>
  <c r="I23" i="7" s="1"/>
  <c r="H27" i="18"/>
  <c r="B97" i="13" l="1"/>
  <c r="B97" i="14"/>
  <c r="B97" i="15"/>
  <c r="B97" i="16"/>
  <c r="B97" i="17"/>
  <c r="B97" i="18"/>
  <c r="B97" i="20"/>
  <c r="B97" i="12"/>
  <c r="B90" i="5"/>
  <c r="I25" i="12"/>
  <c r="J25" i="12" s="1"/>
  <c r="C21" i="7" s="1"/>
  <c r="H25" i="12"/>
  <c r="I26" i="17"/>
  <c r="J26" i="17" s="1"/>
  <c r="H22" i="7" s="1"/>
  <c r="H26" i="17"/>
  <c r="I26" i="16"/>
  <c r="J26" i="16" s="1"/>
  <c r="G22" i="7" s="1"/>
  <c r="H26" i="16"/>
  <c r="I25" i="13"/>
  <c r="J25" i="13" s="1"/>
  <c r="H25" i="13"/>
  <c r="N15" i="8"/>
  <c r="O15" i="8"/>
  <c r="O19" i="7"/>
  <c r="E16" i="6"/>
  <c r="M16" i="8" s="1"/>
  <c r="J17" i="8"/>
  <c r="D20" i="7"/>
  <c r="L20" i="7" s="1"/>
  <c r="L18" i="8"/>
  <c r="F21" i="7"/>
  <c r="K18" i="8"/>
  <c r="E21" i="7"/>
  <c r="I25" i="19"/>
  <c r="J25" i="19" s="1"/>
  <c r="H25" i="19"/>
  <c r="I26" i="14"/>
  <c r="J26" i="14" s="1"/>
  <c r="H26" i="14"/>
  <c r="B21" i="5"/>
  <c r="B28" i="20"/>
  <c r="A28" i="19"/>
  <c r="B28" i="16"/>
  <c r="B28" i="17"/>
  <c r="B28" i="18"/>
  <c r="B28" i="15"/>
  <c r="B28" i="14"/>
  <c r="B28" i="12"/>
  <c r="B28" i="13"/>
  <c r="I26" i="15"/>
  <c r="J26" i="15" s="1"/>
  <c r="H26" i="15"/>
  <c r="I28" i="20"/>
  <c r="J28" i="20" s="1"/>
  <c r="K24" i="7" s="1"/>
  <c r="H28" i="20"/>
  <c r="I28" i="18"/>
  <c r="J28" i="18" s="1"/>
  <c r="I24" i="7" s="1"/>
  <c r="H28" i="18"/>
  <c r="B98" i="13" l="1"/>
  <c r="B98" i="14"/>
  <c r="B98" i="15"/>
  <c r="B98" i="16"/>
  <c r="B98" i="17"/>
  <c r="B98" i="20"/>
  <c r="B91" i="5"/>
  <c r="B98" i="12"/>
  <c r="B98" i="18"/>
  <c r="H26" i="12"/>
  <c r="I26" i="12"/>
  <c r="J26" i="12" s="1"/>
  <c r="C22" i="7" s="1"/>
  <c r="K19" i="8"/>
  <c r="E22" i="7"/>
  <c r="O20" i="7"/>
  <c r="E17" i="6"/>
  <c r="M17" i="8" s="1"/>
  <c r="H27" i="14"/>
  <c r="I27" i="14"/>
  <c r="J27" i="14" s="1"/>
  <c r="J18" i="8"/>
  <c r="D21" i="7"/>
  <c r="L21" i="7" s="1"/>
  <c r="L19" i="8"/>
  <c r="F22" i="7"/>
  <c r="H26" i="19"/>
  <c r="I26" i="19"/>
  <c r="J26" i="19" s="1"/>
  <c r="N16" i="8"/>
  <c r="O16" i="8"/>
  <c r="I27" i="16"/>
  <c r="J27" i="16" s="1"/>
  <c r="G23" i="7" s="1"/>
  <c r="H27" i="16"/>
  <c r="H26" i="13"/>
  <c r="I26" i="13"/>
  <c r="J26" i="13" s="1"/>
  <c r="B22" i="5"/>
  <c r="A29" i="19"/>
  <c r="B29" i="18"/>
  <c r="B29" i="20"/>
  <c r="B29" i="16"/>
  <c r="B29" i="17"/>
  <c r="B29" i="15"/>
  <c r="B29" i="14"/>
  <c r="B29" i="13"/>
  <c r="B29" i="12"/>
  <c r="I27" i="15"/>
  <c r="J27" i="15" s="1"/>
  <c r="H27" i="15"/>
  <c r="H27" i="17"/>
  <c r="I27" i="17"/>
  <c r="J27" i="17" s="1"/>
  <c r="H23" i="7" s="1"/>
  <c r="I29" i="20"/>
  <c r="J29" i="20" s="1"/>
  <c r="K25" i="7" s="1"/>
  <c r="H29" i="20"/>
  <c r="I29" i="18"/>
  <c r="J29" i="18" s="1"/>
  <c r="I25" i="7" s="1"/>
  <c r="H29" i="18"/>
  <c r="B99" i="20" l="1"/>
  <c r="B99" i="18"/>
  <c r="B99" i="12"/>
  <c r="B92" i="5"/>
  <c r="B99" i="13"/>
  <c r="B99" i="14"/>
  <c r="B99" i="15"/>
  <c r="B99" i="16"/>
  <c r="B99" i="17"/>
  <c r="H27" i="12"/>
  <c r="I27" i="12"/>
  <c r="J27" i="12" s="1"/>
  <c r="C23" i="7" s="1"/>
  <c r="K20" i="8"/>
  <c r="E23" i="7"/>
  <c r="D22" i="7"/>
  <c r="L22" i="7" s="1"/>
  <c r="J19" i="8"/>
  <c r="I27" i="19"/>
  <c r="J27" i="19" s="1"/>
  <c r="H27" i="19"/>
  <c r="B23" i="5"/>
  <c r="B30" i="18"/>
  <c r="B30" i="17"/>
  <c r="A30" i="19"/>
  <c r="B30" i="15"/>
  <c r="B30" i="14"/>
  <c r="B30" i="20"/>
  <c r="B30" i="13"/>
  <c r="B30" i="12"/>
  <c r="B30" i="16"/>
  <c r="I27" i="13"/>
  <c r="J27" i="13" s="1"/>
  <c r="H27" i="13"/>
  <c r="O17" i="8"/>
  <c r="N17" i="8"/>
  <c r="I28" i="16"/>
  <c r="J28" i="16" s="1"/>
  <c r="G24" i="7" s="1"/>
  <c r="H28" i="16"/>
  <c r="I28" i="17"/>
  <c r="J28" i="17" s="1"/>
  <c r="H24" i="7" s="1"/>
  <c r="H28" i="17"/>
  <c r="H28" i="15"/>
  <c r="I28" i="15"/>
  <c r="J28" i="15" s="1"/>
  <c r="O21" i="7"/>
  <c r="E18" i="6"/>
  <c r="M18" i="8" s="1"/>
  <c r="I28" i="14"/>
  <c r="J28" i="14" s="1"/>
  <c r="H28" i="14"/>
  <c r="F23" i="7"/>
  <c r="L20" i="8"/>
  <c r="I30" i="20"/>
  <c r="J30" i="20" s="1"/>
  <c r="K26" i="7" s="1"/>
  <c r="H30" i="20"/>
  <c r="I30" i="18"/>
  <c r="J30" i="18" s="1"/>
  <c r="I26" i="7" s="1"/>
  <c r="H30" i="18"/>
  <c r="B100" i="18" l="1"/>
  <c r="B100" i="14"/>
  <c r="B100" i="17"/>
  <c r="B93" i="5"/>
  <c r="B100" i="12"/>
  <c r="B100" i="13"/>
  <c r="B100" i="15"/>
  <c r="B100" i="16"/>
  <c r="B100" i="20"/>
  <c r="H28" i="12"/>
  <c r="I28" i="12"/>
  <c r="J28" i="12" s="1"/>
  <c r="C24" i="7" s="1"/>
  <c r="I29" i="15"/>
  <c r="J29" i="15" s="1"/>
  <c r="H29" i="15"/>
  <c r="N18" i="8"/>
  <c r="O18" i="8"/>
  <c r="I28" i="19"/>
  <c r="J28" i="19" s="1"/>
  <c r="H28" i="19"/>
  <c r="F24" i="7"/>
  <c r="L21" i="8"/>
  <c r="O22" i="7"/>
  <c r="E19" i="6"/>
  <c r="I29" i="17"/>
  <c r="J29" i="17" s="1"/>
  <c r="H25" i="7" s="1"/>
  <c r="H29" i="17"/>
  <c r="D23" i="7"/>
  <c r="L23" i="7" s="1"/>
  <c r="J20" i="8"/>
  <c r="I28" i="13"/>
  <c r="J28" i="13" s="1"/>
  <c r="H28" i="13"/>
  <c r="I29" i="14"/>
  <c r="J29" i="14" s="1"/>
  <c r="H29" i="14"/>
  <c r="B24" i="5"/>
  <c r="B31" i="17"/>
  <c r="B31" i="20"/>
  <c r="B31" i="18"/>
  <c r="B31" i="15"/>
  <c r="B31" i="14"/>
  <c r="A31" i="19"/>
  <c r="B31" i="16"/>
  <c r="B31" i="12"/>
  <c r="B31" i="13"/>
  <c r="K21" i="8"/>
  <c r="E24" i="7"/>
  <c r="I29" i="16"/>
  <c r="J29" i="16" s="1"/>
  <c r="G25" i="7" s="1"/>
  <c r="H29" i="16"/>
  <c r="I31" i="20"/>
  <c r="J31" i="20" s="1"/>
  <c r="K27" i="7" s="1"/>
  <c r="H31" i="20"/>
  <c r="I31" i="18"/>
  <c r="J31" i="18" s="1"/>
  <c r="I27" i="7" s="1"/>
  <c r="H31" i="18"/>
  <c r="B101" i="12" l="1"/>
  <c r="B101" i="13"/>
  <c r="B101" i="14"/>
  <c r="B101" i="16"/>
  <c r="B101" i="18"/>
  <c r="B101" i="20"/>
  <c r="B101" i="15"/>
  <c r="B101" i="17"/>
  <c r="B94" i="5"/>
  <c r="I29" i="12"/>
  <c r="J29" i="12" s="1"/>
  <c r="C25" i="7" s="1"/>
  <c r="H29" i="12"/>
  <c r="B25" i="5"/>
  <c r="B32" i="20"/>
  <c r="A32" i="19"/>
  <c r="B32" i="15"/>
  <c r="B32" i="14"/>
  <c r="B32" i="16"/>
  <c r="B32" i="18"/>
  <c r="B32" i="17"/>
  <c r="B32" i="12"/>
  <c r="B32" i="13"/>
  <c r="K22" i="8"/>
  <c r="E25" i="7"/>
  <c r="I30" i="17"/>
  <c r="J30" i="17" s="1"/>
  <c r="H26" i="7" s="1"/>
  <c r="H30" i="17"/>
  <c r="I29" i="19"/>
  <c r="J29" i="19" s="1"/>
  <c r="H29" i="19"/>
  <c r="H29" i="13"/>
  <c r="I29" i="13"/>
  <c r="J29" i="13" s="1"/>
  <c r="O23" i="7"/>
  <c r="E20" i="6"/>
  <c r="J21" i="8"/>
  <c r="D24" i="7"/>
  <c r="L24" i="7" s="1"/>
  <c r="O19" i="8"/>
  <c r="N19" i="8"/>
  <c r="H30" i="14"/>
  <c r="I30" i="14"/>
  <c r="J30" i="14" s="1"/>
  <c r="I30" i="15"/>
  <c r="J30" i="15" s="1"/>
  <c r="H30" i="15"/>
  <c r="H30" i="16"/>
  <c r="I30" i="16"/>
  <c r="J30" i="16" s="1"/>
  <c r="G26" i="7" s="1"/>
  <c r="M19" i="8"/>
  <c r="L22" i="8"/>
  <c r="F25" i="7"/>
  <c r="I32" i="20"/>
  <c r="J32" i="20" s="1"/>
  <c r="K28" i="7" s="1"/>
  <c r="H32" i="20"/>
  <c r="I32" i="18"/>
  <c r="J32" i="18" s="1"/>
  <c r="I28" i="7" s="1"/>
  <c r="H32" i="18"/>
  <c r="B95" i="5" l="1"/>
  <c r="B102" i="20"/>
  <c r="B102" i="13"/>
  <c r="B102" i="14"/>
  <c r="B102" i="15"/>
  <c r="B102" i="16"/>
  <c r="B102" i="17"/>
  <c r="B102" i="18"/>
  <c r="B102" i="12"/>
  <c r="I30" i="12"/>
  <c r="J30" i="12" s="1"/>
  <c r="C26" i="7" s="1"/>
  <c r="H30" i="12"/>
  <c r="L23" i="8"/>
  <c r="F26" i="7"/>
  <c r="O24" i="7"/>
  <c r="E21" i="6"/>
  <c r="M21" i="8" s="1"/>
  <c r="H31" i="17"/>
  <c r="I31" i="17"/>
  <c r="J31" i="17" s="1"/>
  <c r="H27" i="7" s="1"/>
  <c r="O20" i="8"/>
  <c r="N20" i="8"/>
  <c r="E26" i="7"/>
  <c r="K23" i="8"/>
  <c r="J22" i="8"/>
  <c r="D25" i="7"/>
  <c r="L25" i="7" s="1"/>
  <c r="I31" i="14"/>
  <c r="J31" i="14" s="1"/>
  <c r="H31" i="14"/>
  <c r="I30" i="13"/>
  <c r="J30" i="13" s="1"/>
  <c r="H30" i="13"/>
  <c r="M20" i="8"/>
  <c r="I31" i="16"/>
  <c r="J31" i="16" s="1"/>
  <c r="G27" i="7" s="1"/>
  <c r="H31" i="16"/>
  <c r="H30" i="19"/>
  <c r="I30" i="19"/>
  <c r="J30" i="19" s="1"/>
  <c r="I31" i="15"/>
  <c r="J31" i="15" s="1"/>
  <c r="H31" i="15"/>
  <c r="B26" i="5"/>
  <c r="A33" i="19"/>
  <c r="B33" i="18"/>
  <c r="B33" i="20"/>
  <c r="B33" i="16"/>
  <c r="B33" i="14"/>
  <c r="B33" i="13"/>
  <c r="B33" i="17"/>
  <c r="B33" i="15"/>
  <c r="B33" i="12"/>
  <c r="I33" i="20"/>
  <c r="J33" i="20" s="1"/>
  <c r="K29" i="7" s="1"/>
  <c r="H33" i="20"/>
  <c r="I33" i="18"/>
  <c r="J33" i="18" s="1"/>
  <c r="I29" i="7" s="1"/>
  <c r="H33" i="18"/>
  <c r="B103" i="18" l="1"/>
  <c r="B103" i="12"/>
  <c r="B96" i="5"/>
  <c r="B103" i="13"/>
  <c r="B103" i="14"/>
  <c r="B103" i="15"/>
  <c r="B103" i="16"/>
  <c r="B103" i="17"/>
  <c r="B103" i="20"/>
  <c r="I31" i="12"/>
  <c r="J31" i="12" s="1"/>
  <c r="C27" i="7" s="1"/>
  <c r="H31" i="12"/>
  <c r="I31" i="19"/>
  <c r="J31" i="19" s="1"/>
  <c r="H31" i="19"/>
  <c r="E27" i="7"/>
  <c r="K24" i="8"/>
  <c r="I32" i="15"/>
  <c r="J32" i="15" s="1"/>
  <c r="H32" i="15"/>
  <c r="I32" i="17"/>
  <c r="J32" i="17" s="1"/>
  <c r="H28" i="7" s="1"/>
  <c r="H32" i="17"/>
  <c r="H32" i="16"/>
  <c r="I32" i="16"/>
  <c r="J32" i="16" s="1"/>
  <c r="G28" i="7" s="1"/>
  <c r="B27" i="5"/>
  <c r="B34" i="18"/>
  <c r="B34" i="17"/>
  <c r="A34" i="19"/>
  <c r="B34" i="20"/>
  <c r="B34" i="14"/>
  <c r="B34" i="15"/>
  <c r="B34" i="13"/>
  <c r="B34" i="12"/>
  <c r="B34" i="16"/>
  <c r="L24" i="8"/>
  <c r="F27" i="7"/>
  <c r="O21" i="8"/>
  <c r="N21" i="8"/>
  <c r="O25" i="7"/>
  <c r="E22" i="6"/>
  <c r="M22" i="8" s="1"/>
  <c r="H31" i="13"/>
  <c r="I31" i="13"/>
  <c r="J31" i="13" s="1"/>
  <c r="J23" i="8"/>
  <c r="D26" i="7"/>
  <c r="L26" i="7" s="1"/>
  <c r="I32" i="14"/>
  <c r="J32" i="14" s="1"/>
  <c r="H32" i="14"/>
  <c r="I34" i="20"/>
  <c r="J34" i="20" s="1"/>
  <c r="K30" i="7" s="1"/>
  <c r="H34" i="20"/>
  <c r="I34" i="18"/>
  <c r="J34" i="18" s="1"/>
  <c r="I30" i="7" s="1"/>
  <c r="H34" i="18"/>
  <c r="B104" i="18" l="1"/>
  <c r="B97" i="5"/>
  <c r="B104" i="13"/>
  <c r="B104" i="14"/>
  <c r="B104" i="15"/>
  <c r="B104" i="16"/>
  <c r="B104" i="17"/>
  <c r="B104" i="12"/>
  <c r="B104" i="20"/>
  <c r="H32" i="12"/>
  <c r="I32" i="12"/>
  <c r="J32" i="12" s="1"/>
  <c r="C28" i="7" s="1"/>
  <c r="J24" i="8"/>
  <c r="D27" i="7"/>
  <c r="L27" i="7" s="1"/>
  <c r="I33" i="15"/>
  <c r="J33" i="15" s="1"/>
  <c r="H33" i="15"/>
  <c r="L25" i="8"/>
  <c r="F28" i="7"/>
  <c r="B28" i="5"/>
  <c r="B35" i="17"/>
  <c r="B35" i="20"/>
  <c r="B35" i="18"/>
  <c r="A35" i="19"/>
  <c r="B35" i="16"/>
  <c r="B35" i="15"/>
  <c r="B35" i="13"/>
  <c r="B35" i="12"/>
  <c r="B35" i="14"/>
  <c r="K25" i="8"/>
  <c r="E28" i="7"/>
  <c r="N22" i="8"/>
  <c r="O22" i="8"/>
  <c r="O26" i="7"/>
  <c r="E23" i="6"/>
  <c r="M23" i="8" s="1"/>
  <c r="H33" i="16"/>
  <c r="I33" i="16"/>
  <c r="J33" i="16" s="1"/>
  <c r="G29" i="7" s="1"/>
  <c r="H32" i="13"/>
  <c r="I32" i="13"/>
  <c r="J32" i="13" s="1"/>
  <c r="I33" i="17"/>
  <c r="J33" i="17" s="1"/>
  <c r="H29" i="7" s="1"/>
  <c r="H33" i="17"/>
  <c r="I32" i="19"/>
  <c r="J32" i="19" s="1"/>
  <c r="H32" i="19"/>
  <c r="I33" i="14"/>
  <c r="J33" i="14" s="1"/>
  <c r="H33" i="14"/>
  <c r="I35" i="20"/>
  <c r="J35" i="20" s="1"/>
  <c r="K31" i="7" s="1"/>
  <c r="H35" i="20"/>
  <c r="I35" i="18"/>
  <c r="J35" i="18" s="1"/>
  <c r="I31" i="7" s="1"/>
  <c r="H35" i="18"/>
  <c r="B105" i="13" l="1"/>
  <c r="B105" i="14"/>
  <c r="B105" i="15"/>
  <c r="B105" i="16"/>
  <c r="B105" i="17"/>
  <c r="B105" i="20"/>
  <c r="B105" i="18"/>
  <c r="B105" i="12"/>
  <c r="B98" i="5"/>
  <c r="H33" i="12"/>
  <c r="I33" i="12"/>
  <c r="J33" i="12" s="1"/>
  <c r="C29" i="7" s="1"/>
  <c r="I34" i="14"/>
  <c r="J34" i="14" s="1"/>
  <c r="H34" i="14"/>
  <c r="I33" i="13"/>
  <c r="J33" i="13" s="1"/>
  <c r="H33" i="13"/>
  <c r="I34" i="15"/>
  <c r="J34" i="15" s="1"/>
  <c r="H34" i="15"/>
  <c r="K26" i="8"/>
  <c r="E29" i="7"/>
  <c r="I33" i="19"/>
  <c r="J33" i="19" s="1"/>
  <c r="H33" i="19"/>
  <c r="I34" i="16"/>
  <c r="J34" i="16" s="1"/>
  <c r="G30" i="7" s="1"/>
  <c r="H34" i="16"/>
  <c r="L26" i="8"/>
  <c r="F29" i="7"/>
  <c r="O23" i="8"/>
  <c r="N23" i="8"/>
  <c r="B29" i="5"/>
  <c r="B36" i="20"/>
  <c r="A36" i="19"/>
  <c r="B36" i="18"/>
  <c r="B36" i="16"/>
  <c r="B36" i="17"/>
  <c r="B36" i="15"/>
  <c r="B36" i="14"/>
  <c r="B36" i="13"/>
  <c r="B36" i="12"/>
  <c r="J25" i="8"/>
  <c r="D28" i="7"/>
  <c r="L28" i="7" s="1"/>
  <c r="O27" i="7"/>
  <c r="E24" i="6"/>
  <c r="M24" i="8" s="1"/>
  <c r="I34" i="17"/>
  <c r="J34" i="17" s="1"/>
  <c r="H30" i="7" s="1"/>
  <c r="H34" i="17"/>
  <c r="I36" i="20"/>
  <c r="J36" i="20" s="1"/>
  <c r="K32" i="7" s="1"/>
  <c r="H36" i="20"/>
  <c r="I36" i="18"/>
  <c r="J36" i="18" s="1"/>
  <c r="I32" i="7" s="1"/>
  <c r="H36" i="18"/>
  <c r="B106" i="13" l="1"/>
  <c r="B106" i="14"/>
  <c r="B106" i="15"/>
  <c r="B106" i="16"/>
  <c r="B106" i="17"/>
  <c r="B99" i="5"/>
  <c r="B106" i="20"/>
  <c r="B106" i="12"/>
  <c r="B106" i="18"/>
  <c r="H34" i="12"/>
  <c r="I34" i="12"/>
  <c r="J34" i="12" s="1"/>
  <c r="C30" i="7" s="1"/>
  <c r="B30" i="5"/>
  <c r="A37" i="19"/>
  <c r="B37" i="18"/>
  <c r="B37" i="20"/>
  <c r="B37" i="16"/>
  <c r="B37" i="17"/>
  <c r="B37" i="15"/>
  <c r="B37" i="14"/>
  <c r="B37" i="13"/>
  <c r="B37" i="12"/>
  <c r="I34" i="13"/>
  <c r="J34" i="13" s="1"/>
  <c r="H34" i="13"/>
  <c r="I34" i="19"/>
  <c r="J34" i="19" s="1"/>
  <c r="H34" i="19"/>
  <c r="I35" i="17"/>
  <c r="J35" i="17" s="1"/>
  <c r="H31" i="7" s="1"/>
  <c r="H35" i="17"/>
  <c r="J26" i="8"/>
  <c r="D29" i="7"/>
  <c r="L29" i="7" s="1"/>
  <c r="I35" i="14"/>
  <c r="J35" i="14" s="1"/>
  <c r="H35" i="14"/>
  <c r="N24" i="8"/>
  <c r="O24" i="8"/>
  <c r="I35" i="15"/>
  <c r="J35" i="15" s="1"/>
  <c r="H35" i="15"/>
  <c r="K27" i="8"/>
  <c r="E30" i="7"/>
  <c r="L27" i="8"/>
  <c r="F30" i="7"/>
  <c r="O28" i="7"/>
  <c r="E25" i="6"/>
  <c r="H35" i="16"/>
  <c r="I35" i="16"/>
  <c r="J35" i="16" s="1"/>
  <c r="G31" i="7" s="1"/>
  <c r="I37" i="20"/>
  <c r="J37" i="20" s="1"/>
  <c r="K33" i="7" s="1"/>
  <c r="H37" i="20"/>
  <c r="I37" i="18"/>
  <c r="J37" i="18" s="1"/>
  <c r="I33" i="7" s="1"/>
  <c r="H37" i="18"/>
  <c r="B107" i="20" l="1"/>
  <c r="B107" i="18"/>
  <c r="B107" i="12"/>
  <c r="B100" i="5"/>
  <c r="B107" i="13"/>
  <c r="B107" i="14"/>
  <c r="B107" i="15"/>
  <c r="B107" i="16"/>
  <c r="B107" i="17"/>
  <c r="H35" i="12"/>
  <c r="I35" i="12"/>
  <c r="J35" i="12" s="1"/>
  <c r="C31" i="7" s="1"/>
  <c r="I35" i="19"/>
  <c r="J35" i="19" s="1"/>
  <c r="H35" i="19"/>
  <c r="K28" i="8"/>
  <c r="E31" i="7"/>
  <c r="I35" i="13"/>
  <c r="J35" i="13" s="1"/>
  <c r="H35" i="13"/>
  <c r="H36" i="16"/>
  <c r="I36" i="16"/>
  <c r="J36" i="16" s="1"/>
  <c r="G32" i="7" s="1"/>
  <c r="J27" i="8"/>
  <c r="D30" i="7"/>
  <c r="L30" i="7" s="1"/>
  <c r="O25" i="8"/>
  <c r="N25" i="8"/>
  <c r="O29" i="7"/>
  <c r="E26" i="6"/>
  <c r="M26" i="8" s="1"/>
  <c r="I36" i="14"/>
  <c r="J36" i="14" s="1"/>
  <c r="H36" i="14"/>
  <c r="I36" i="15"/>
  <c r="J36" i="15" s="1"/>
  <c r="H36" i="15"/>
  <c r="B31" i="5"/>
  <c r="B38" i="18"/>
  <c r="B38" i="17"/>
  <c r="A38" i="19"/>
  <c r="B38" i="20"/>
  <c r="B38" i="15"/>
  <c r="B38" i="14"/>
  <c r="B38" i="16"/>
  <c r="B38" i="12"/>
  <c r="B38" i="13"/>
  <c r="F31" i="7"/>
  <c r="L28" i="8"/>
  <c r="I36" i="17"/>
  <c r="J36" i="17" s="1"/>
  <c r="H32" i="7" s="1"/>
  <c r="H36" i="17"/>
  <c r="M25" i="8"/>
  <c r="I38" i="20"/>
  <c r="J38" i="20" s="1"/>
  <c r="K34" i="7" s="1"/>
  <c r="H38" i="20"/>
  <c r="I38" i="18"/>
  <c r="J38" i="18" s="1"/>
  <c r="I34" i="7" s="1"/>
  <c r="H38" i="18"/>
  <c r="B108" i="18" l="1"/>
  <c r="B108" i="13"/>
  <c r="B108" i="15"/>
  <c r="B108" i="16"/>
  <c r="B101" i="5"/>
  <c r="B108" i="12"/>
  <c r="B108" i="14"/>
  <c r="B108" i="17"/>
  <c r="B108" i="20"/>
  <c r="H36" i="12"/>
  <c r="I36" i="12"/>
  <c r="J36" i="12" s="1"/>
  <c r="C32" i="7" s="1"/>
  <c r="H36" i="13"/>
  <c r="I36" i="13"/>
  <c r="J36" i="13" s="1"/>
  <c r="I37" i="16"/>
  <c r="J37" i="16" s="1"/>
  <c r="G33" i="7" s="1"/>
  <c r="H37" i="16"/>
  <c r="B32" i="5"/>
  <c r="B39" i="17"/>
  <c r="B39" i="20"/>
  <c r="B39" i="18"/>
  <c r="A39" i="19"/>
  <c r="B39" i="15"/>
  <c r="B39" i="14"/>
  <c r="B39" i="16"/>
  <c r="B39" i="12"/>
  <c r="B39" i="13"/>
  <c r="D31" i="7"/>
  <c r="L31" i="7" s="1"/>
  <c r="J28" i="8"/>
  <c r="I37" i="15"/>
  <c r="J37" i="15" s="1"/>
  <c r="H37" i="15"/>
  <c r="H37" i="17"/>
  <c r="I37" i="17"/>
  <c r="J37" i="17" s="1"/>
  <c r="H33" i="7" s="1"/>
  <c r="F32" i="7"/>
  <c r="L29" i="8"/>
  <c r="O30" i="7"/>
  <c r="E27" i="6"/>
  <c r="M27" i="8" s="1"/>
  <c r="I37" i="14"/>
  <c r="J37" i="14" s="1"/>
  <c r="H37" i="14"/>
  <c r="I36" i="19"/>
  <c r="J36" i="19" s="1"/>
  <c r="H36" i="19"/>
  <c r="N26" i="8"/>
  <c r="O26" i="8"/>
  <c r="K29" i="8"/>
  <c r="E32" i="7"/>
  <c r="I39" i="20"/>
  <c r="J39" i="20" s="1"/>
  <c r="K35" i="7" s="1"/>
  <c r="H39" i="20"/>
  <c r="I39" i="18"/>
  <c r="J39" i="18" s="1"/>
  <c r="I35" i="7" s="1"/>
  <c r="H39" i="18"/>
  <c r="B109" i="12" l="1"/>
  <c r="B109" i="15"/>
  <c r="B109" i="18"/>
  <c r="B109" i="13"/>
  <c r="B109" i="14"/>
  <c r="B109" i="16"/>
  <c r="B109" i="20"/>
  <c r="B109" i="17"/>
  <c r="I37" i="12"/>
  <c r="J37" i="12" s="1"/>
  <c r="C33" i="7" s="1"/>
  <c r="H37" i="12"/>
  <c r="I38" i="17"/>
  <c r="J38" i="17" s="1"/>
  <c r="H34" i="7" s="1"/>
  <c r="H38" i="17"/>
  <c r="O31" i="7"/>
  <c r="E28" i="6"/>
  <c r="M28" i="8" s="1"/>
  <c r="I38" i="14"/>
  <c r="J38" i="14" s="1"/>
  <c r="H38" i="14"/>
  <c r="K30" i="8"/>
  <c r="E33" i="7"/>
  <c r="I38" i="15"/>
  <c r="J38" i="15" s="1"/>
  <c r="H38" i="15"/>
  <c r="B33" i="5"/>
  <c r="B40" i="20"/>
  <c r="A40" i="19"/>
  <c r="B40" i="15"/>
  <c r="B40" i="14"/>
  <c r="B40" i="16"/>
  <c r="B40" i="18"/>
  <c r="B40" i="17"/>
  <c r="B40" i="12"/>
  <c r="B40" i="13"/>
  <c r="N27" i="8"/>
  <c r="O27" i="8"/>
  <c r="L30" i="8"/>
  <c r="F33" i="7"/>
  <c r="H38" i="16"/>
  <c r="I38" i="16"/>
  <c r="J38" i="16" s="1"/>
  <c r="G34" i="7" s="1"/>
  <c r="J29" i="8"/>
  <c r="D32" i="7"/>
  <c r="L32" i="7" s="1"/>
  <c r="I37" i="19"/>
  <c r="J37" i="19" s="1"/>
  <c r="H37" i="19"/>
  <c r="I37" i="13"/>
  <c r="J37" i="13" s="1"/>
  <c r="H37" i="13"/>
  <c r="I40" i="20"/>
  <c r="J40" i="20" s="1"/>
  <c r="K36" i="7" s="1"/>
  <c r="H40" i="20"/>
  <c r="I40" i="18"/>
  <c r="J40" i="18" s="1"/>
  <c r="I36" i="7" s="1"/>
  <c r="H40" i="18"/>
  <c r="I38" i="12" l="1"/>
  <c r="J38" i="12" s="1"/>
  <c r="C34" i="7" s="1"/>
  <c r="H38" i="12"/>
  <c r="O32" i="7"/>
  <c r="E29" i="6"/>
  <c r="M29" i="8" s="1"/>
  <c r="I38" i="13"/>
  <c r="J38" i="13" s="1"/>
  <c r="H38" i="13"/>
  <c r="I39" i="14"/>
  <c r="J39" i="14" s="1"/>
  <c r="H39" i="14"/>
  <c r="J30" i="8"/>
  <c r="D33" i="7"/>
  <c r="L33" i="7" s="1"/>
  <c r="E34" i="7"/>
  <c r="K31" i="8"/>
  <c r="B34" i="5"/>
  <c r="A41" i="19"/>
  <c r="B41" i="18"/>
  <c r="B41" i="20"/>
  <c r="B41" i="16"/>
  <c r="B41" i="14"/>
  <c r="B41" i="13"/>
  <c r="B41" i="17"/>
  <c r="B41" i="15"/>
  <c r="B41" i="12"/>
  <c r="O28" i="8"/>
  <c r="N28" i="8"/>
  <c r="I39" i="15"/>
  <c r="J39" i="15" s="1"/>
  <c r="H39" i="15"/>
  <c r="I38" i="19"/>
  <c r="J38" i="19" s="1"/>
  <c r="H38" i="19"/>
  <c r="H39" i="16"/>
  <c r="I39" i="16"/>
  <c r="J39" i="16" s="1"/>
  <c r="G35" i="7" s="1"/>
  <c r="L31" i="8"/>
  <c r="F34" i="7"/>
  <c r="I39" i="17"/>
  <c r="J39" i="17" s="1"/>
  <c r="H35" i="7" s="1"/>
  <c r="H39" i="17"/>
  <c r="I41" i="20"/>
  <c r="J41" i="20" s="1"/>
  <c r="K37" i="7" s="1"/>
  <c r="H41" i="20"/>
  <c r="I41" i="18"/>
  <c r="J41" i="18" s="1"/>
  <c r="I37" i="7" s="1"/>
  <c r="H41" i="18"/>
  <c r="I39" i="12" l="1"/>
  <c r="J39" i="12" s="1"/>
  <c r="C35" i="7" s="1"/>
  <c r="H39" i="12"/>
  <c r="I39" i="19"/>
  <c r="J39" i="19" s="1"/>
  <c r="H39" i="19"/>
  <c r="B35" i="5"/>
  <c r="B42" i="18"/>
  <c r="B42" i="17"/>
  <c r="A42" i="19"/>
  <c r="B42" i="14"/>
  <c r="B42" i="15"/>
  <c r="B42" i="13"/>
  <c r="B42" i="20"/>
  <c r="B42" i="16"/>
  <c r="B42" i="12"/>
  <c r="I40" i="14"/>
  <c r="J40" i="14" s="1"/>
  <c r="H40" i="14"/>
  <c r="E35" i="7"/>
  <c r="K32" i="8"/>
  <c r="I40" i="17"/>
  <c r="J40" i="17" s="1"/>
  <c r="H36" i="7" s="1"/>
  <c r="H40" i="17"/>
  <c r="I40" i="15"/>
  <c r="J40" i="15" s="1"/>
  <c r="H40" i="15"/>
  <c r="I39" i="13"/>
  <c r="J39" i="13" s="1"/>
  <c r="H39" i="13"/>
  <c r="L32" i="8"/>
  <c r="F35" i="7"/>
  <c r="J31" i="8"/>
  <c r="D34" i="7"/>
  <c r="L34" i="7" s="1"/>
  <c r="O29" i="8"/>
  <c r="N29" i="8"/>
  <c r="H40" i="16"/>
  <c r="I40" i="16"/>
  <c r="J40" i="16" s="1"/>
  <c r="G36" i="7" s="1"/>
  <c r="O33" i="7"/>
  <c r="E30" i="6"/>
  <c r="M30" i="8" s="1"/>
  <c r="I42" i="20"/>
  <c r="J42" i="20" s="1"/>
  <c r="K38" i="7" s="1"/>
  <c r="H42" i="20"/>
  <c r="I42" i="18"/>
  <c r="J42" i="18" s="1"/>
  <c r="I38" i="7" s="1"/>
  <c r="H42" i="18"/>
  <c r="I40" i="12" l="1"/>
  <c r="J40" i="12" s="1"/>
  <c r="C36" i="7" s="1"/>
  <c r="H40" i="12"/>
  <c r="O34" i="7"/>
  <c r="E31" i="6"/>
  <c r="M31" i="8" s="1"/>
  <c r="I41" i="15"/>
  <c r="J41" i="15" s="1"/>
  <c r="H41" i="15"/>
  <c r="O30" i="8"/>
  <c r="N30" i="8"/>
  <c r="L33" i="8"/>
  <c r="F36" i="7"/>
  <c r="I41" i="14"/>
  <c r="J41" i="14" s="1"/>
  <c r="H41" i="14"/>
  <c r="I41" i="17"/>
  <c r="J41" i="17" s="1"/>
  <c r="H37" i="7" s="1"/>
  <c r="H41" i="17"/>
  <c r="K33" i="8"/>
  <c r="E36" i="7"/>
  <c r="B36" i="5"/>
  <c r="B43" i="17"/>
  <c r="B43" i="20"/>
  <c r="B43" i="18"/>
  <c r="B43" i="16"/>
  <c r="B43" i="15"/>
  <c r="B43" i="13"/>
  <c r="A43" i="19"/>
  <c r="B43" i="14"/>
  <c r="B43" i="12"/>
  <c r="D35" i="7"/>
  <c r="L35" i="7" s="1"/>
  <c r="J32" i="8"/>
  <c r="H41" i="16"/>
  <c r="I41" i="16"/>
  <c r="J41" i="16" s="1"/>
  <c r="G37" i="7" s="1"/>
  <c r="I40" i="19"/>
  <c r="J40" i="19" s="1"/>
  <c r="H40" i="19"/>
  <c r="H40" i="13"/>
  <c r="I40" i="13"/>
  <c r="J40" i="13" s="1"/>
  <c r="I43" i="20"/>
  <c r="J43" i="20" s="1"/>
  <c r="K39" i="7" s="1"/>
  <c r="H43" i="20"/>
  <c r="I43" i="18"/>
  <c r="J43" i="18" s="1"/>
  <c r="I39" i="7" s="1"/>
  <c r="H43" i="18"/>
  <c r="I41" i="12" l="1"/>
  <c r="J41" i="12" s="1"/>
  <c r="C37" i="7" s="1"/>
  <c r="H41" i="12"/>
  <c r="J33" i="8"/>
  <c r="D36" i="7"/>
  <c r="L36" i="7" s="1"/>
  <c r="H42" i="16"/>
  <c r="I42" i="16"/>
  <c r="J42" i="16" s="1"/>
  <c r="G38" i="7" s="1"/>
  <c r="H42" i="17"/>
  <c r="I42" i="17"/>
  <c r="J42" i="17" s="1"/>
  <c r="H38" i="7" s="1"/>
  <c r="I42" i="15"/>
  <c r="J42" i="15" s="1"/>
  <c r="H42" i="15"/>
  <c r="I41" i="19"/>
  <c r="J41" i="19" s="1"/>
  <c r="H41" i="19"/>
  <c r="O35" i="7"/>
  <c r="E32" i="6"/>
  <c r="H42" i="14"/>
  <c r="I42" i="14"/>
  <c r="J42" i="14" s="1"/>
  <c r="L34" i="8"/>
  <c r="F37" i="7"/>
  <c r="I41" i="13"/>
  <c r="J41" i="13" s="1"/>
  <c r="H41" i="13"/>
  <c r="K34" i="8"/>
  <c r="E37" i="7"/>
  <c r="O31" i="8"/>
  <c r="N31" i="8"/>
  <c r="B37" i="5"/>
  <c r="B44" i="20"/>
  <c r="A44" i="19"/>
  <c r="B44" i="18"/>
  <c r="B44" i="16"/>
  <c r="B44" i="17"/>
  <c r="B44" i="15"/>
  <c r="B44" i="14"/>
  <c r="B44" i="12"/>
  <c r="B44" i="13"/>
  <c r="I44" i="20"/>
  <c r="J44" i="20" s="1"/>
  <c r="K40" i="7" s="1"/>
  <c r="H44" i="20"/>
  <c r="I44" i="18"/>
  <c r="J44" i="18" s="1"/>
  <c r="I40" i="7" s="1"/>
  <c r="H44" i="18"/>
  <c r="H42" i="12" l="1"/>
  <c r="I42" i="12"/>
  <c r="J42" i="12" s="1"/>
  <c r="C38" i="7" s="1"/>
  <c r="N32" i="8"/>
  <c r="O32" i="8"/>
  <c r="I43" i="17"/>
  <c r="J43" i="17" s="1"/>
  <c r="H39" i="7" s="1"/>
  <c r="H43" i="17"/>
  <c r="I42" i="13"/>
  <c r="J42" i="13" s="1"/>
  <c r="H42" i="13"/>
  <c r="I42" i="19"/>
  <c r="J42" i="19" s="1"/>
  <c r="H42" i="19"/>
  <c r="I43" i="16"/>
  <c r="J43" i="16" s="1"/>
  <c r="G39" i="7" s="1"/>
  <c r="H43" i="16"/>
  <c r="J34" i="8"/>
  <c r="D37" i="7"/>
  <c r="L37" i="7" s="1"/>
  <c r="O36" i="7"/>
  <c r="E33" i="6"/>
  <c r="M33" i="8" s="1"/>
  <c r="B38" i="5"/>
  <c r="A45" i="19"/>
  <c r="B45" i="18"/>
  <c r="B45" i="20"/>
  <c r="B45" i="16"/>
  <c r="B45" i="17"/>
  <c r="B45" i="15"/>
  <c r="B45" i="14"/>
  <c r="B45" i="13"/>
  <c r="B45" i="12"/>
  <c r="I43" i="15"/>
  <c r="J43" i="15" s="1"/>
  <c r="H43" i="15"/>
  <c r="L35" i="8"/>
  <c r="F38" i="7"/>
  <c r="K35" i="8"/>
  <c r="E38" i="7"/>
  <c r="M32" i="8"/>
  <c r="I43" i="14"/>
  <c r="J43" i="14" s="1"/>
  <c r="H43" i="14"/>
  <c r="I45" i="20"/>
  <c r="J45" i="20" s="1"/>
  <c r="K41" i="7" s="1"/>
  <c r="H45" i="20"/>
  <c r="I45" i="18"/>
  <c r="J45" i="18" s="1"/>
  <c r="I41" i="7" s="1"/>
  <c r="H45" i="18"/>
  <c r="H43" i="12" l="1"/>
  <c r="I43" i="12"/>
  <c r="J43" i="12" s="1"/>
  <c r="C39" i="7" s="1"/>
  <c r="I44" i="14"/>
  <c r="J44" i="14" s="1"/>
  <c r="H44" i="14"/>
  <c r="K36" i="8"/>
  <c r="E39" i="7"/>
  <c r="O33" i="8"/>
  <c r="N33" i="8"/>
  <c r="I43" i="13"/>
  <c r="J43" i="13" s="1"/>
  <c r="H43" i="13"/>
  <c r="I44" i="15"/>
  <c r="J44" i="15" s="1"/>
  <c r="H44" i="15"/>
  <c r="D38" i="7"/>
  <c r="L38" i="7" s="1"/>
  <c r="J35" i="8"/>
  <c r="F39" i="7"/>
  <c r="L36" i="8"/>
  <c r="O37" i="7"/>
  <c r="E34" i="6"/>
  <c r="M34" i="8" s="1"/>
  <c r="I44" i="17"/>
  <c r="J44" i="17" s="1"/>
  <c r="H40" i="7" s="1"/>
  <c r="H44" i="17"/>
  <c r="I43" i="19"/>
  <c r="J43" i="19" s="1"/>
  <c r="H43" i="19"/>
  <c r="I44" i="16"/>
  <c r="J44" i="16" s="1"/>
  <c r="G40" i="7" s="1"/>
  <c r="H44" i="16"/>
  <c r="B39" i="5"/>
  <c r="B46" i="18"/>
  <c r="B46" i="17"/>
  <c r="A46" i="19"/>
  <c r="B46" i="15"/>
  <c r="B46" i="14"/>
  <c r="B46" i="20"/>
  <c r="B46" i="16"/>
  <c r="B46" i="13"/>
  <c r="B46" i="12"/>
  <c r="I46" i="20"/>
  <c r="J46" i="20" s="1"/>
  <c r="K42" i="7" s="1"/>
  <c r="H46" i="20"/>
  <c r="I46" i="18"/>
  <c r="J46" i="18" s="1"/>
  <c r="I42" i="7" s="1"/>
  <c r="H46" i="18"/>
  <c r="I44" i="12" l="1"/>
  <c r="J44" i="12" s="1"/>
  <c r="C40" i="7" s="1"/>
  <c r="H44" i="12"/>
  <c r="I44" i="19"/>
  <c r="J44" i="19" s="1"/>
  <c r="H44" i="19"/>
  <c r="O34" i="8"/>
  <c r="N34" i="8"/>
  <c r="I44" i="13"/>
  <c r="J44" i="13" s="1"/>
  <c r="H44" i="13"/>
  <c r="D39" i="7"/>
  <c r="L39" i="7" s="1"/>
  <c r="J36" i="8"/>
  <c r="H45" i="16"/>
  <c r="I45" i="16"/>
  <c r="J45" i="16" s="1"/>
  <c r="G41" i="7" s="1"/>
  <c r="O38" i="7"/>
  <c r="E35" i="6"/>
  <c r="M35" i="8" s="1"/>
  <c r="B40" i="5"/>
  <c r="B47" i="17"/>
  <c r="B47" i="20"/>
  <c r="B47" i="18"/>
  <c r="B47" i="15"/>
  <c r="B47" i="14"/>
  <c r="A47" i="19"/>
  <c r="B47" i="16"/>
  <c r="B47" i="13"/>
  <c r="B47" i="12"/>
  <c r="I45" i="17"/>
  <c r="J45" i="17" s="1"/>
  <c r="H41" i="7" s="1"/>
  <c r="H45" i="17"/>
  <c r="I45" i="15"/>
  <c r="J45" i="15" s="1"/>
  <c r="H45" i="15"/>
  <c r="I45" i="14"/>
  <c r="J45" i="14" s="1"/>
  <c r="H45" i="14"/>
  <c r="F40" i="7"/>
  <c r="L37" i="8"/>
  <c r="K37" i="8"/>
  <c r="E40" i="7"/>
  <c r="I47" i="20"/>
  <c r="J47" i="20" s="1"/>
  <c r="K43" i="7" s="1"/>
  <c r="H47" i="20"/>
  <c r="I47" i="18"/>
  <c r="J47" i="18" s="1"/>
  <c r="I43" i="7" s="1"/>
  <c r="H47" i="18"/>
  <c r="I45" i="12" l="1"/>
  <c r="J45" i="12" s="1"/>
  <c r="C41" i="7" s="1"/>
  <c r="H45" i="12"/>
  <c r="H46" i="15"/>
  <c r="I46" i="15"/>
  <c r="J46" i="15" s="1"/>
  <c r="O39" i="7"/>
  <c r="E36" i="6"/>
  <c r="M36" i="8" s="1"/>
  <c r="I46" i="17"/>
  <c r="J46" i="17" s="1"/>
  <c r="H42" i="7" s="1"/>
  <c r="H46" i="17"/>
  <c r="I46" i="16"/>
  <c r="J46" i="16" s="1"/>
  <c r="G42" i="7" s="1"/>
  <c r="H46" i="16"/>
  <c r="I45" i="13"/>
  <c r="J45" i="13" s="1"/>
  <c r="H45" i="13"/>
  <c r="J37" i="8"/>
  <c r="D40" i="7"/>
  <c r="L40" i="7" s="1"/>
  <c r="B41" i="5"/>
  <c r="B48" i="20"/>
  <c r="A48" i="19"/>
  <c r="B48" i="15"/>
  <c r="B48" i="14"/>
  <c r="B48" i="16"/>
  <c r="B48" i="18"/>
  <c r="B48" i="17"/>
  <c r="B48" i="12"/>
  <c r="B48" i="13"/>
  <c r="L38" i="8"/>
  <c r="F41" i="7"/>
  <c r="I46" i="14"/>
  <c r="J46" i="14" s="1"/>
  <c r="H46" i="14"/>
  <c r="I45" i="19"/>
  <c r="J45" i="19" s="1"/>
  <c r="H45" i="19"/>
  <c r="K38" i="8"/>
  <c r="E41" i="7"/>
  <c r="N35" i="8"/>
  <c r="O35" i="8"/>
  <c r="I48" i="20"/>
  <c r="J48" i="20" s="1"/>
  <c r="K44" i="7" s="1"/>
  <c r="H48" i="20"/>
  <c r="I48" i="18"/>
  <c r="J48" i="18" s="1"/>
  <c r="I44" i="7" s="1"/>
  <c r="H48" i="18"/>
  <c r="I46" i="12" l="1"/>
  <c r="J46" i="12" s="1"/>
  <c r="C42" i="7" s="1"/>
  <c r="H46" i="12"/>
  <c r="H47" i="14"/>
  <c r="I47" i="14"/>
  <c r="J47" i="14" s="1"/>
  <c r="B42" i="5"/>
  <c r="A49" i="19"/>
  <c r="B49" i="18"/>
  <c r="B49" i="20"/>
  <c r="B49" i="16"/>
  <c r="B49" i="14"/>
  <c r="B49" i="13"/>
  <c r="B49" i="17"/>
  <c r="B49" i="15"/>
  <c r="B49" i="12"/>
  <c r="E42" i="7"/>
  <c r="K39" i="8"/>
  <c r="I47" i="17"/>
  <c r="J47" i="17" s="1"/>
  <c r="H43" i="7" s="1"/>
  <c r="H47" i="17"/>
  <c r="H47" i="16"/>
  <c r="I47" i="16"/>
  <c r="J47" i="16" s="1"/>
  <c r="G43" i="7" s="1"/>
  <c r="O40" i="7"/>
  <c r="E37" i="6"/>
  <c r="O36" i="8"/>
  <c r="N36" i="8"/>
  <c r="I46" i="19"/>
  <c r="J46" i="19" s="1"/>
  <c r="H46" i="19"/>
  <c r="I46" i="13"/>
  <c r="J46" i="13" s="1"/>
  <c r="H46" i="13"/>
  <c r="L39" i="8"/>
  <c r="F42" i="7"/>
  <c r="J38" i="8"/>
  <c r="D41" i="7"/>
  <c r="L41" i="7" s="1"/>
  <c r="I47" i="15"/>
  <c r="J47" i="15" s="1"/>
  <c r="H47" i="15"/>
  <c r="I49" i="20"/>
  <c r="J49" i="20" s="1"/>
  <c r="K45" i="7" s="1"/>
  <c r="H49" i="20"/>
  <c r="I49" i="18"/>
  <c r="J49" i="18" s="1"/>
  <c r="I45" i="7" s="1"/>
  <c r="H49" i="18"/>
  <c r="I47" i="12" l="1"/>
  <c r="J47" i="12" s="1"/>
  <c r="C43" i="7" s="1"/>
  <c r="H47" i="12"/>
  <c r="I47" i="13"/>
  <c r="J47" i="13" s="1"/>
  <c r="H47" i="13"/>
  <c r="I48" i="15"/>
  <c r="J48" i="15" s="1"/>
  <c r="H48" i="15"/>
  <c r="N37" i="8"/>
  <c r="O37" i="8"/>
  <c r="I48" i="17"/>
  <c r="J48" i="17" s="1"/>
  <c r="H44" i="7" s="1"/>
  <c r="H48" i="17"/>
  <c r="O41" i="7"/>
  <c r="E38" i="6"/>
  <c r="H47" i="19"/>
  <c r="I47" i="19"/>
  <c r="J47" i="19" s="1"/>
  <c r="B43" i="5"/>
  <c r="B50" i="18"/>
  <c r="B50" i="17"/>
  <c r="A50" i="19"/>
  <c r="B50" i="20"/>
  <c r="B50" i="14"/>
  <c r="B50" i="15"/>
  <c r="B50" i="13"/>
  <c r="B50" i="16"/>
  <c r="B50" i="12"/>
  <c r="J39" i="8"/>
  <c r="D42" i="7"/>
  <c r="L42" i="7" s="1"/>
  <c r="E43" i="7"/>
  <c r="K40" i="8"/>
  <c r="L40" i="8"/>
  <c r="F43" i="7"/>
  <c r="M37" i="8"/>
  <c r="I48" i="16"/>
  <c r="J48" i="16" s="1"/>
  <c r="G44" i="7" s="1"/>
  <c r="H48" i="16"/>
  <c r="H48" i="14"/>
  <c r="I48" i="14"/>
  <c r="J48" i="14" s="1"/>
  <c r="I50" i="20"/>
  <c r="J50" i="20" s="1"/>
  <c r="K46" i="7" s="1"/>
  <c r="H50" i="20"/>
  <c r="I50" i="18"/>
  <c r="J50" i="18" s="1"/>
  <c r="I46" i="7" s="1"/>
  <c r="H50" i="18"/>
  <c r="H48" i="12" l="1"/>
  <c r="I48" i="12"/>
  <c r="J48" i="12" s="1"/>
  <c r="C44" i="7" s="1"/>
  <c r="K41" i="8"/>
  <c r="E44" i="7"/>
  <c r="N38" i="8"/>
  <c r="O38" i="8"/>
  <c r="H49" i="16"/>
  <c r="I49" i="16"/>
  <c r="J49" i="16" s="1"/>
  <c r="G45" i="7" s="1"/>
  <c r="O42" i="7"/>
  <c r="E39" i="6"/>
  <c r="M39" i="8" s="1"/>
  <c r="I49" i="17"/>
  <c r="J49" i="17" s="1"/>
  <c r="H45" i="7" s="1"/>
  <c r="H49" i="17"/>
  <c r="I49" i="15"/>
  <c r="J49" i="15" s="1"/>
  <c r="H49" i="15"/>
  <c r="L41" i="8"/>
  <c r="F44" i="7"/>
  <c r="B44" i="5"/>
  <c r="B51" i="17"/>
  <c r="B51" i="20"/>
  <c r="B51" i="18"/>
  <c r="A51" i="19"/>
  <c r="B51" i="16"/>
  <c r="B51" i="15"/>
  <c r="B51" i="14"/>
  <c r="B51" i="12"/>
  <c r="B51" i="13"/>
  <c r="I48" i="13"/>
  <c r="J48" i="13" s="1"/>
  <c r="H48" i="13"/>
  <c r="I48" i="19"/>
  <c r="J48" i="19" s="1"/>
  <c r="H48" i="19"/>
  <c r="I49" i="14"/>
  <c r="J49" i="14" s="1"/>
  <c r="H49" i="14"/>
  <c r="M38" i="8"/>
  <c r="D43" i="7"/>
  <c r="L43" i="7" s="1"/>
  <c r="J40" i="8"/>
  <c r="I51" i="20"/>
  <c r="J51" i="20" s="1"/>
  <c r="K47" i="7" s="1"/>
  <c r="H51" i="20"/>
  <c r="I51" i="18"/>
  <c r="J51" i="18" s="1"/>
  <c r="I47" i="7" s="1"/>
  <c r="H51" i="18"/>
  <c r="I49" i="12" l="1"/>
  <c r="J49" i="12" s="1"/>
  <c r="C45" i="7" s="1"/>
  <c r="H49" i="12"/>
  <c r="H49" i="13"/>
  <c r="I49" i="13"/>
  <c r="J49" i="13" s="1"/>
  <c r="I50" i="17"/>
  <c r="J50" i="17" s="1"/>
  <c r="H46" i="7" s="1"/>
  <c r="H50" i="17"/>
  <c r="J41" i="8"/>
  <c r="D44" i="7"/>
  <c r="L44" i="7" s="1"/>
  <c r="O43" i="7"/>
  <c r="E40" i="6"/>
  <c r="B45" i="5"/>
  <c r="B52" i="20"/>
  <c r="A52" i="19"/>
  <c r="B52" i="16"/>
  <c r="B52" i="17"/>
  <c r="B52" i="15"/>
  <c r="B52" i="14"/>
  <c r="B52" i="12"/>
  <c r="B52" i="18"/>
  <c r="B52" i="13"/>
  <c r="I50" i="14"/>
  <c r="J50" i="14" s="1"/>
  <c r="H50" i="14"/>
  <c r="K42" i="8"/>
  <c r="E45" i="7"/>
  <c r="H50" i="16"/>
  <c r="I50" i="16"/>
  <c r="J50" i="16" s="1"/>
  <c r="G46" i="7" s="1"/>
  <c r="I49" i="19"/>
  <c r="J49" i="19" s="1"/>
  <c r="H49" i="19"/>
  <c r="I50" i="15"/>
  <c r="J50" i="15" s="1"/>
  <c r="H50" i="15"/>
  <c r="O39" i="8"/>
  <c r="N39" i="8"/>
  <c r="L42" i="8"/>
  <c r="F45" i="7"/>
  <c r="I52" i="20"/>
  <c r="J52" i="20" s="1"/>
  <c r="K48" i="7" s="1"/>
  <c r="H52" i="20"/>
  <c r="I52" i="18"/>
  <c r="J52" i="18" s="1"/>
  <c r="I48" i="7" s="1"/>
  <c r="H52" i="18"/>
  <c r="H50" i="12" l="1"/>
  <c r="I50" i="12"/>
  <c r="J50" i="12" s="1"/>
  <c r="C46" i="7" s="1"/>
  <c r="O40" i="8"/>
  <c r="N40" i="8"/>
  <c r="L43" i="8"/>
  <c r="F46" i="7"/>
  <c r="I50" i="19"/>
  <c r="J50" i="19" s="1"/>
  <c r="H50" i="19"/>
  <c r="O44" i="7"/>
  <c r="E41" i="6"/>
  <c r="M41" i="8" s="1"/>
  <c r="I51" i="14"/>
  <c r="J51" i="14" s="1"/>
  <c r="H51" i="14"/>
  <c r="K43" i="8"/>
  <c r="E46" i="7"/>
  <c r="H51" i="17"/>
  <c r="I51" i="17"/>
  <c r="J51" i="17" s="1"/>
  <c r="H47" i="7" s="1"/>
  <c r="M40" i="8"/>
  <c r="I51" i="15"/>
  <c r="J51" i="15" s="1"/>
  <c r="H51" i="15"/>
  <c r="H51" i="16"/>
  <c r="I51" i="16"/>
  <c r="J51" i="16" s="1"/>
  <c r="G47" i="7" s="1"/>
  <c r="D45" i="7"/>
  <c r="L45" i="7" s="1"/>
  <c r="J42" i="8"/>
  <c r="B46" i="5"/>
  <c r="A53" i="19"/>
  <c r="B53" i="18"/>
  <c r="B53" i="20"/>
  <c r="B53" i="16"/>
  <c r="B53" i="17"/>
  <c r="B53" i="15"/>
  <c r="B53" i="14"/>
  <c r="B53" i="13"/>
  <c r="B53" i="12"/>
  <c r="H50" i="13"/>
  <c r="I50" i="13"/>
  <c r="J50" i="13" s="1"/>
  <c r="I53" i="20"/>
  <c r="J53" i="20" s="1"/>
  <c r="K49" i="7" s="1"/>
  <c r="H53" i="20"/>
  <c r="I53" i="18"/>
  <c r="J53" i="18" s="1"/>
  <c r="I49" i="7" s="1"/>
  <c r="H53" i="18"/>
  <c r="H51" i="12" l="1"/>
  <c r="I51" i="12"/>
  <c r="J51" i="12" s="1"/>
  <c r="C47" i="7" s="1"/>
  <c r="J43" i="8"/>
  <c r="D46" i="7"/>
  <c r="L46" i="7" s="1"/>
  <c r="I51" i="19"/>
  <c r="J51" i="19" s="1"/>
  <c r="H51" i="19"/>
  <c r="I52" i="16"/>
  <c r="J52" i="16" s="1"/>
  <c r="G48" i="7" s="1"/>
  <c r="H52" i="16"/>
  <c r="B47" i="5"/>
  <c r="B54" i="18"/>
  <c r="B54" i="17"/>
  <c r="A54" i="19"/>
  <c r="B54" i="20"/>
  <c r="B54" i="15"/>
  <c r="B54" i="14"/>
  <c r="B54" i="16"/>
  <c r="B54" i="13"/>
  <c r="B54" i="12"/>
  <c r="I52" i="15"/>
  <c r="J52" i="15" s="1"/>
  <c r="H52" i="15"/>
  <c r="I52" i="14"/>
  <c r="J52" i="14" s="1"/>
  <c r="H52" i="14"/>
  <c r="H52" i="17"/>
  <c r="I52" i="17"/>
  <c r="J52" i="17" s="1"/>
  <c r="H48" i="7" s="1"/>
  <c r="I51" i="13"/>
  <c r="J51" i="13" s="1"/>
  <c r="H51" i="13"/>
  <c r="F47" i="7"/>
  <c r="L44" i="8"/>
  <c r="K44" i="8"/>
  <c r="E47" i="7"/>
  <c r="O45" i="7"/>
  <c r="E42" i="6"/>
  <c r="N41" i="8"/>
  <c r="O41" i="8"/>
  <c r="I54" i="20"/>
  <c r="J54" i="20" s="1"/>
  <c r="K50" i="7" s="1"/>
  <c r="H54" i="20"/>
  <c r="I54" i="18"/>
  <c r="J54" i="18" s="1"/>
  <c r="I50" i="7" s="1"/>
  <c r="H54" i="18"/>
  <c r="I52" i="12" l="1"/>
  <c r="J52" i="12" s="1"/>
  <c r="C48" i="7" s="1"/>
  <c r="H52" i="12"/>
  <c r="I53" i="17"/>
  <c r="J53" i="17" s="1"/>
  <c r="H49" i="7" s="1"/>
  <c r="H53" i="17"/>
  <c r="K45" i="8"/>
  <c r="E48" i="7"/>
  <c r="I53" i="15"/>
  <c r="J53" i="15" s="1"/>
  <c r="H53" i="15"/>
  <c r="F48" i="7"/>
  <c r="L45" i="8"/>
  <c r="H52" i="13"/>
  <c r="I52" i="13"/>
  <c r="J52" i="13" s="1"/>
  <c r="I52" i="19"/>
  <c r="J52" i="19" s="1"/>
  <c r="H52" i="19"/>
  <c r="O42" i="8"/>
  <c r="N42" i="8"/>
  <c r="J44" i="8"/>
  <c r="D47" i="7"/>
  <c r="L47" i="7" s="1"/>
  <c r="B48" i="5"/>
  <c r="B55" i="17"/>
  <c r="B55" i="20"/>
  <c r="B55" i="18"/>
  <c r="A55" i="19"/>
  <c r="B55" i="15"/>
  <c r="B55" i="14"/>
  <c r="B55" i="16"/>
  <c r="B55" i="13"/>
  <c r="B55" i="12"/>
  <c r="O46" i="7"/>
  <c r="E43" i="6"/>
  <c r="M43" i="8" s="1"/>
  <c r="I53" i="14"/>
  <c r="J53" i="14" s="1"/>
  <c r="H53" i="14"/>
  <c r="M42" i="8"/>
  <c r="H53" i="16"/>
  <c r="I53" i="16"/>
  <c r="J53" i="16" s="1"/>
  <c r="G49" i="7" s="1"/>
  <c r="I55" i="20"/>
  <c r="J55" i="20" s="1"/>
  <c r="K51" i="7" s="1"/>
  <c r="H55" i="20"/>
  <c r="I55" i="18"/>
  <c r="J55" i="18" s="1"/>
  <c r="I51" i="7" s="1"/>
  <c r="H55" i="18"/>
  <c r="I53" i="12" l="1"/>
  <c r="J53" i="12" s="1"/>
  <c r="C49" i="7" s="1"/>
  <c r="H53" i="12"/>
  <c r="L46" i="8"/>
  <c r="F49" i="7"/>
  <c r="B49" i="5"/>
  <c r="B56" i="20"/>
  <c r="A56" i="19"/>
  <c r="B56" i="15"/>
  <c r="B56" i="18"/>
  <c r="B56" i="14"/>
  <c r="B56" i="16"/>
  <c r="B56" i="17"/>
  <c r="B56" i="13"/>
  <c r="B56" i="12"/>
  <c r="O47" i="7"/>
  <c r="E44" i="6"/>
  <c r="M44" i="8" s="1"/>
  <c r="J45" i="8"/>
  <c r="D48" i="7"/>
  <c r="L48" i="7" s="1"/>
  <c r="H53" i="13"/>
  <c r="I53" i="13"/>
  <c r="J53" i="13" s="1"/>
  <c r="I54" i="14"/>
  <c r="J54" i="14" s="1"/>
  <c r="H54" i="14"/>
  <c r="I54" i="15"/>
  <c r="J54" i="15" s="1"/>
  <c r="H54" i="15"/>
  <c r="I54" i="16"/>
  <c r="J54" i="16" s="1"/>
  <c r="G50" i="7" s="1"/>
  <c r="H54" i="16"/>
  <c r="K46" i="8"/>
  <c r="E49" i="7"/>
  <c r="I54" i="17"/>
  <c r="J54" i="17" s="1"/>
  <c r="H50" i="7" s="1"/>
  <c r="H54" i="17"/>
  <c r="N43" i="8"/>
  <c r="O43" i="8"/>
  <c r="I53" i="19"/>
  <c r="J53" i="19" s="1"/>
  <c r="H53" i="19"/>
  <c r="I56" i="20"/>
  <c r="J56" i="20" s="1"/>
  <c r="K52" i="7" s="1"/>
  <c r="H56" i="20"/>
  <c r="I56" i="18"/>
  <c r="J56" i="18" s="1"/>
  <c r="I52" i="7" s="1"/>
  <c r="H56" i="18"/>
  <c r="I54" i="12" l="1"/>
  <c r="J54" i="12" s="1"/>
  <c r="C50" i="7" s="1"/>
  <c r="H54" i="12"/>
  <c r="I54" i="19"/>
  <c r="J54" i="19" s="1"/>
  <c r="H54" i="19"/>
  <c r="J46" i="8"/>
  <c r="D49" i="7"/>
  <c r="L49" i="7" s="1"/>
  <c r="H55" i="16"/>
  <c r="I55" i="16"/>
  <c r="J55" i="16" s="1"/>
  <c r="G51" i="7" s="1"/>
  <c r="H54" i="13"/>
  <c r="I54" i="13"/>
  <c r="J54" i="13" s="1"/>
  <c r="B50" i="5"/>
  <c r="A57" i="19"/>
  <c r="B57" i="18"/>
  <c r="B57" i="20"/>
  <c r="B57" i="16"/>
  <c r="B57" i="14"/>
  <c r="B57" i="13"/>
  <c r="B57" i="17"/>
  <c r="B57" i="15"/>
  <c r="B57" i="12"/>
  <c r="I55" i="15"/>
  <c r="J55" i="15" s="1"/>
  <c r="H55" i="15"/>
  <c r="O48" i="7"/>
  <c r="E45" i="6"/>
  <c r="M45" i="8" s="1"/>
  <c r="I55" i="17"/>
  <c r="J55" i="17" s="1"/>
  <c r="H51" i="7" s="1"/>
  <c r="H55" i="17"/>
  <c r="L47" i="8"/>
  <c r="F50" i="7"/>
  <c r="E50" i="7"/>
  <c r="K47" i="8"/>
  <c r="H55" i="14"/>
  <c r="I55" i="14"/>
  <c r="J55" i="14" s="1"/>
  <c r="N44" i="8"/>
  <c r="O44" i="8"/>
  <c r="I57" i="20"/>
  <c r="J57" i="20" s="1"/>
  <c r="K53" i="7" s="1"/>
  <c r="H57" i="20"/>
  <c r="I57" i="18"/>
  <c r="J57" i="18" s="1"/>
  <c r="I53" i="7" s="1"/>
  <c r="H57" i="18"/>
  <c r="H55" i="12" l="1"/>
  <c r="I55" i="12"/>
  <c r="J55" i="12" s="1"/>
  <c r="C51" i="7" s="1"/>
  <c r="I56" i="15"/>
  <c r="J56" i="15" s="1"/>
  <c r="H56" i="15"/>
  <c r="O49" i="7"/>
  <c r="E46" i="6"/>
  <c r="B51" i="5"/>
  <c r="B58" i="18"/>
  <c r="B58" i="17"/>
  <c r="A58" i="19"/>
  <c r="B58" i="14"/>
  <c r="B58" i="16"/>
  <c r="B58" i="20"/>
  <c r="B58" i="12"/>
  <c r="B58" i="13"/>
  <c r="B58" i="15"/>
  <c r="E51" i="7"/>
  <c r="K48" i="8"/>
  <c r="I56" i="17"/>
  <c r="J56" i="17" s="1"/>
  <c r="H52" i="7" s="1"/>
  <c r="H56" i="17"/>
  <c r="J47" i="8"/>
  <c r="D50" i="7"/>
  <c r="L50" i="7" s="1"/>
  <c r="I56" i="14"/>
  <c r="J56" i="14" s="1"/>
  <c r="H56" i="14"/>
  <c r="I55" i="13"/>
  <c r="J55" i="13" s="1"/>
  <c r="H55" i="13"/>
  <c r="I55" i="19"/>
  <c r="J55" i="19" s="1"/>
  <c r="H55" i="19"/>
  <c r="O45" i="8"/>
  <c r="N45" i="8"/>
  <c r="L48" i="8"/>
  <c r="F51" i="7"/>
  <c r="I56" i="16"/>
  <c r="J56" i="16" s="1"/>
  <c r="G52" i="7" s="1"/>
  <c r="H56" i="16"/>
  <c r="I58" i="20"/>
  <c r="J58" i="20" s="1"/>
  <c r="K54" i="7" s="1"/>
  <c r="H58" i="20"/>
  <c r="I58" i="18"/>
  <c r="J58" i="18" s="1"/>
  <c r="I54" i="7" s="1"/>
  <c r="H58" i="18"/>
  <c r="H56" i="12" l="1"/>
  <c r="I56" i="12"/>
  <c r="J56" i="12" s="1"/>
  <c r="C52" i="7" s="1"/>
  <c r="I56" i="19"/>
  <c r="J56" i="19" s="1"/>
  <c r="H56" i="19"/>
  <c r="H57" i="17"/>
  <c r="I57" i="17"/>
  <c r="J57" i="17" s="1"/>
  <c r="H53" i="7" s="1"/>
  <c r="N46" i="8"/>
  <c r="O46" i="8"/>
  <c r="H56" i="13"/>
  <c r="I56" i="13"/>
  <c r="J56" i="13" s="1"/>
  <c r="D51" i="7"/>
  <c r="L51" i="7" s="1"/>
  <c r="J48" i="8"/>
  <c r="I57" i="14"/>
  <c r="J57" i="14" s="1"/>
  <c r="H57" i="14"/>
  <c r="M46" i="8"/>
  <c r="I57" i="16"/>
  <c r="J57" i="16" s="1"/>
  <c r="G53" i="7" s="1"/>
  <c r="H57" i="16"/>
  <c r="K49" i="8"/>
  <c r="E52" i="7"/>
  <c r="I57" i="15"/>
  <c r="J57" i="15" s="1"/>
  <c r="H57" i="15"/>
  <c r="O50" i="7"/>
  <c r="E47" i="6"/>
  <c r="B52" i="5"/>
  <c r="B59" i="17"/>
  <c r="B59" i="20"/>
  <c r="B59" i="18"/>
  <c r="B59" i="16"/>
  <c r="B59" i="15"/>
  <c r="A59" i="19"/>
  <c r="B59" i="14"/>
  <c r="B59" i="12"/>
  <c r="B59" i="13"/>
  <c r="L49" i="8"/>
  <c r="F52" i="7"/>
  <c r="I59" i="20"/>
  <c r="J59" i="20" s="1"/>
  <c r="K55" i="7" s="1"/>
  <c r="H59" i="20"/>
  <c r="I59" i="18"/>
  <c r="J59" i="18" s="1"/>
  <c r="I55" i="7" s="1"/>
  <c r="H59" i="18"/>
  <c r="I57" i="12" l="1"/>
  <c r="J57" i="12" s="1"/>
  <c r="C53" i="7" s="1"/>
  <c r="H57" i="12"/>
  <c r="I58" i="14"/>
  <c r="J58" i="14" s="1"/>
  <c r="H58" i="14"/>
  <c r="H57" i="13"/>
  <c r="I57" i="13"/>
  <c r="J57" i="13" s="1"/>
  <c r="K50" i="8"/>
  <c r="E53" i="7"/>
  <c r="H58" i="16"/>
  <c r="I58" i="16"/>
  <c r="J58" i="16" s="1"/>
  <c r="G54" i="7" s="1"/>
  <c r="L50" i="8"/>
  <c r="F53" i="7"/>
  <c r="O47" i="8"/>
  <c r="N47" i="8"/>
  <c r="M47" i="8"/>
  <c r="I58" i="17"/>
  <c r="J58" i="17" s="1"/>
  <c r="H54" i="7" s="1"/>
  <c r="H58" i="17"/>
  <c r="J49" i="8"/>
  <c r="D52" i="7"/>
  <c r="L52" i="7" s="1"/>
  <c r="B53" i="5"/>
  <c r="B60" i="20"/>
  <c r="A60" i="19"/>
  <c r="B60" i="16"/>
  <c r="B60" i="17"/>
  <c r="B60" i="18"/>
  <c r="B60" i="15"/>
  <c r="B60" i="14"/>
  <c r="B60" i="12"/>
  <c r="B60" i="13"/>
  <c r="O51" i="7"/>
  <c r="E48" i="6"/>
  <c r="M48" i="8" s="1"/>
  <c r="I57" i="19"/>
  <c r="J57" i="19" s="1"/>
  <c r="H57" i="19"/>
  <c r="I58" i="15"/>
  <c r="J58" i="15" s="1"/>
  <c r="H58" i="15"/>
  <c r="I60" i="20"/>
  <c r="J60" i="20" s="1"/>
  <c r="K56" i="7" s="1"/>
  <c r="H60" i="20"/>
  <c r="I60" i="18"/>
  <c r="J60" i="18" s="1"/>
  <c r="I56" i="7" s="1"/>
  <c r="H60" i="18"/>
  <c r="H58" i="12" l="1"/>
  <c r="I58" i="12"/>
  <c r="J58" i="12" s="1"/>
  <c r="C54" i="7" s="1"/>
  <c r="I59" i="15"/>
  <c r="J59" i="15" s="1"/>
  <c r="H59" i="15"/>
  <c r="L51" i="8"/>
  <c r="F54" i="7"/>
  <c r="B54" i="5"/>
  <c r="A61" i="19"/>
  <c r="B61" i="18"/>
  <c r="B61" i="20"/>
  <c r="B61" i="16"/>
  <c r="B61" i="17"/>
  <c r="B61" i="15"/>
  <c r="B61" i="14"/>
  <c r="B61" i="13"/>
  <c r="B61" i="12"/>
  <c r="O52" i="7"/>
  <c r="E49" i="6"/>
  <c r="D53" i="7"/>
  <c r="L53" i="7" s="1"/>
  <c r="J50" i="8"/>
  <c r="I58" i="19"/>
  <c r="J58" i="19" s="1"/>
  <c r="H58" i="19"/>
  <c r="H58" i="13"/>
  <c r="I58" i="13"/>
  <c r="J58" i="13" s="1"/>
  <c r="N48" i="8"/>
  <c r="O48" i="8"/>
  <c r="I59" i="17"/>
  <c r="J59" i="17" s="1"/>
  <c r="H55" i="7" s="1"/>
  <c r="H59" i="17"/>
  <c r="H59" i="14"/>
  <c r="I59" i="14"/>
  <c r="J59" i="14" s="1"/>
  <c r="H59" i="16"/>
  <c r="I59" i="16"/>
  <c r="J59" i="16" s="1"/>
  <c r="G55" i="7" s="1"/>
  <c r="K51" i="8"/>
  <c r="E54" i="7"/>
  <c r="I61" i="20"/>
  <c r="J61" i="20" s="1"/>
  <c r="K57" i="7" s="1"/>
  <c r="H61" i="20"/>
  <c r="I61" i="18"/>
  <c r="J61" i="18" s="1"/>
  <c r="I57" i="7" s="1"/>
  <c r="H61" i="18"/>
  <c r="H59" i="12" l="1"/>
  <c r="I59" i="12"/>
  <c r="J59" i="12" s="1"/>
  <c r="C55" i="7" s="1"/>
  <c r="H60" i="17"/>
  <c r="I60" i="17"/>
  <c r="J60" i="17" s="1"/>
  <c r="H56" i="7" s="1"/>
  <c r="I59" i="19"/>
  <c r="J59" i="19" s="1"/>
  <c r="H59" i="19"/>
  <c r="B55" i="5"/>
  <c r="B62" i="18"/>
  <c r="B62" i="17"/>
  <c r="A62" i="19"/>
  <c r="B62" i="15"/>
  <c r="B62" i="14"/>
  <c r="B62" i="20"/>
  <c r="B62" i="13"/>
  <c r="B62" i="12"/>
  <c r="B62" i="16"/>
  <c r="O53" i="7"/>
  <c r="E50" i="6"/>
  <c r="M50" i="8" s="1"/>
  <c r="I60" i="15"/>
  <c r="J60" i="15" s="1"/>
  <c r="H60" i="15"/>
  <c r="D54" i="7"/>
  <c r="L54" i="7" s="1"/>
  <c r="J51" i="8"/>
  <c r="O49" i="8"/>
  <c r="N49" i="8"/>
  <c r="F55" i="7"/>
  <c r="L52" i="8"/>
  <c r="H60" i="16"/>
  <c r="I60" i="16"/>
  <c r="J60" i="16" s="1"/>
  <c r="G56" i="7" s="1"/>
  <c r="I59" i="13"/>
  <c r="J59" i="13" s="1"/>
  <c r="H59" i="13"/>
  <c r="K52" i="8"/>
  <c r="E55" i="7"/>
  <c r="I60" i="14"/>
  <c r="J60" i="14" s="1"/>
  <c r="H60" i="14"/>
  <c r="M49" i="8"/>
  <c r="I62" i="20"/>
  <c r="J62" i="20" s="1"/>
  <c r="K58" i="7" s="1"/>
  <c r="H62" i="20"/>
  <c r="I62" i="18"/>
  <c r="J62" i="18" s="1"/>
  <c r="I58" i="7" s="1"/>
  <c r="H62" i="18"/>
  <c r="I60" i="12" l="1"/>
  <c r="J60" i="12" s="1"/>
  <c r="C56" i="7" s="1"/>
  <c r="H60" i="12"/>
  <c r="H60" i="13"/>
  <c r="I60" i="13"/>
  <c r="J60" i="13" s="1"/>
  <c r="J52" i="8"/>
  <c r="D55" i="7"/>
  <c r="L55" i="7" s="1"/>
  <c r="O54" i="7"/>
  <c r="E51" i="6"/>
  <c r="I61" i="15"/>
  <c r="J61" i="15" s="1"/>
  <c r="H61" i="15"/>
  <c r="B56" i="5"/>
  <c r="B63" i="17"/>
  <c r="B63" i="20"/>
  <c r="B63" i="18"/>
  <c r="B63" i="13"/>
  <c r="B63" i="15"/>
  <c r="B63" i="14"/>
  <c r="A63" i="19"/>
  <c r="B63" i="16"/>
  <c r="B63" i="12"/>
  <c r="I61" i="14"/>
  <c r="J61" i="14" s="1"/>
  <c r="H61" i="14"/>
  <c r="K53" i="8"/>
  <c r="E56" i="7"/>
  <c r="I61" i="16"/>
  <c r="J61" i="16" s="1"/>
  <c r="G57" i="7" s="1"/>
  <c r="H61" i="16"/>
  <c r="F56" i="7"/>
  <c r="L53" i="8"/>
  <c r="I60" i="19"/>
  <c r="J60" i="19" s="1"/>
  <c r="H60" i="19"/>
  <c r="O50" i="8"/>
  <c r="N50" i="8"/>
  <c r="I61" i="17"/>
  <c r="J61" i="17" s="1"/>
  <c r="H57" i="7" s="1"/>
  <c r="H61" i="17"/>
  <c r="I63" i="20"/>
  <c r="J63" i="20" s="1"/>
  <c r="K59" i="7" s="1"/>
  <c r="H63" i="20"/>
  <c r="I63" i="18"/>
  <c r="J63" i="18" s="1"/>
  <c r="I59" i="7" s="1"/>
  <c r="H63" i="18"/>
  <c r="I61" i="12" l="1"/>
  <c r="J61" i="12" s="1"/>
  <c r="C57" i="7" s="1"/>
  <c r="H61" i="12"/>
  <c r="N51" i="8"/>
  <c r="O51" i="8"/>
  <c r="I62" i="17"/>
  <c r="J62" i="17" s="1"/>
  <c r="H58" i="7" s="1"/>
  <c r="H62" i="17"/>
  <c r="I61" i="19"/>
  <c r="J61" i="19" s="1"/>
  <c r="H61" i="19"/>
  <c r="I62" i="14"/>
  <c r="J62" i="14" s="1"/>
  <c r="H62" i="14"/>
  <c r="O55" i="7"/>
  <c r="E52" i="6"/>
  <c r="M52" i="8" s="1"/>
  <c r="K54" i="8"/>
  <c r="E57" i="7"/>
  <c r="M51" i="8"/>
  <c r="B57" i="5"/>
  <c r="B64" i="20"/>
  <c r="A64" i="19"/>
  <c r="B64" i="15"/>
  <c r="B64" i="14"/>
  <c r="B64" i="16"/>
  <c r="B64" i="18"/>
  <c r="B64" i="17"/>
  <c r="B64" i="12"/>
  <c r="B64" i="13"/>
  <c r="J53" i="8"/>
  <c r="D56" i="7"/>
  <c r="L56" i="7" s="1"/>
  <c r="L54" i="8"/>
  <c r="F57" i="7"/>
  <c r="H62" i="16"/>
  <c r="I62" i="16"/>
  <c r="J62" i="16" s="1"/>
  <c r="G58" i="7" s="1"/>
  <c r="I62" i="15"/>
  <c r="J62" i="15" s="1"/>
  <c r="H62" i="15"/>
  <c r="I61" i="13"/>
  <c r="J61" i="13" s="1"/>
  <c r="H61" i="13"/>
  <c r="I64" i="20"/>
  <c r="J64" i="20" s="1"/>
  <c r="K60" i="7" s="1"/>
  <c r="H64" i="20"/>
  <c r="I64" i="18"/>
  <c r="J64" i="18" s="1"/>
  <c r="I60" i="7" s="1"/>
  <c r="H64" i="18"/>
  <c r="H62" i="12" l="1"/>
  <c r="I62" i="12"/>
  <c r="J62" i="12" s="1"/>
  <c r="C58" i="7" s="1"/>
  <c r="I62" i="13"/>
  <c r="J62" i="13" s="1"/>
  <c r="H62" i="13"/>
  <c r="O56" i="7"/>
  <c r="E53" i="6"/>
  <c r="M53" i="8" s="1"/>
  <c r="I62" i="19"/>
  <c r="J62" i="19" s="1"/>
  <c r="H62" i="19"/>
  <c r="I63" i="15"/>
  <c r="J63" i="15" s="1"/>
  <c r="H63" i="15"/>
  <c r="L55" i="8"/>
  <c r="F58" i="7"/>
  <c r="B58" i="5"/>
  <c r="A65" i="19"/>
  <c r="B65" i="18"/>
  <c r="B65" i="20"/>
  <c r="B65" i="16"/>
  <c r="B65" i="14"/>
  <c r="B65" i="13"/>
  <c r="B65" i="17"/>
  <c r="B65" i="15"/>
  <c r="B65" i="12"/>
  <c r="I63" i="17"/>
  <c r="J63" i="17" s="1"/>
  <c r="H59" i="7" s="1"/>
  <c r="H63" i="17"/>
  <c r="N52" i="8"/>
  <c r="O52" i="8"/>
  <c r="E58" i="7"/>
  <c r="K55" i="8"/>
  <c r="I63" i="16"/>
  <c r="J63" i="16" s="1"/>
  <c r="G59" i="7" s="1"/>
  <c r="H63" i="16"/>
  <c r="J54" i="8"/>
  <c r="D57" i="7"/>
  <c r="L57" i="7" s="1"/>
  <c r="I63" i="14"/>
  <c r="J63" i="14" s="1"/>
  <c r="H63" i="14"/>
  <c r="I65" i="20"/>
  <c r="J65" i="20" s="1"/>
  <c r="K61" i="7" s="1"/>
  <c r="H65" i="20"/>
  <c r="I65" i="18"/>
  <c r="J65" i="18" s="1"/>
  <c r="I61" i="7" s="1"/>
  <c r="H65" i="18"/>
  <c r="H63" i="12" l="1"/>
  <c r="I63" i="12"/>
  <c r="J63" i="12" s="1"/>
  <c r="C59" i="7" s="1"/>
  <c r="I63" i="19"/>
  <c r="J63" i="19" s="1"/>
  <c r="H63" i="19"/>
  <c r="I64" i="14"/>
  <c r="J64" i="14" s="1"/>
  <c r="H64" i="14"/>
  <c r="E59" i="7"/>
  <c r="K56" i="8"/>
  <c r="B59" i="5"/>
  <c r="B66" i="18"/>
  <c r="B66" i="17"/>
  <c r="A66" i="19"/>
  <c r="B66" i="20"/>
  <c r="B66" i="13"/>
  <c r="B66" i="14"/>
  <c r="B66" i="12"/>
  <c r="B66" i="16"/>
  <c r="B66" i="15"/>
  <c r="N53" i="8"/>
  <c r="O53" i="8"/>
  <c r="O57" i="7"/>
  <c r="E54" i="6"/>
  <c r="M54" i="8" s="1"/>
  <c r="I63" i="13"/>
  <c r="J63" i="13" s="1"/>
  <c r="H63" i="13"/>
  <c r="I64" i="15"/>
  <c r="J64" i="15" s="1"/>
  <c r="H64" i="15"/>
  <c r="J55" i="8"/>
  <c r="D58" i="7"/>
  <c r="L58" i="7" s="1"/>
  <c r="H64" i="16"/>
  <c r="I64" i="16"/>
  <c r="J64" i="16" s="1"/>
  <c r="G60" i="7" s="1"/>
  <c r="H64" i="17"/>
  <c r="I64" i="17"/>
  <c r="J64" i="17" s="1"/>
  <c r="H60" i="7" s="1"/>
  <c r="L56" i="8"/>
  <c r="F59" i="7"/>
  <c r="I66" i="20"/>
  <c r="J66" i="20" s="1"/>
  <c r="K62" i="7" s="1"/>
  <c r="H66" i="20"/>
  <c r="I66" i="18"/>
  <c r="J66" i="18" s="1"/>
  <c r="I62" i="7" s="1"/>
  <c r="H66" i="18"/>
  <c r="I64" i="12" l="1"/>
  <c r="J64" i="12" s="1"/>
  <c r="C60" i="7" s="1"/>
  <c r="H64" i="12"/>
  <c r="D59" i="7"/>
  <c r="L59" i="7" s="1"/>
  <c r="J56" i="8"/>
  <c r="B60" i="5"/>
  <c r="B67" i="17"/>
  <c r="B67" i="20"/>
  <c r="B67" i="18"/>
  <c r="B67" i="13"/>
  <c r="A67" i="19"/>
  <c r="B67" i="16"/>
  <c r="B67" i="15"/>
  <c r="B67" i="14"/>
  <c r="B67" i="12"/>
  <c r="I65" i="15"/>
  <c r="J65" i="15" s="1"/>
  <c r="H65" i="15"/>
  <c r="O54" i="8"/>
  <c r="N54" i="8"/>
  <c r="I65" i="14"/>
  <c r="J65" i="14" s="1"/>
  <c r="H65" i="14"/>
  <c r="L57" i="8"/>
  <c r="F60" i="7"/>
  <c r="K57" i="8"/>
  <c r="E60" i="7"/>
  <c r="I65" i="17"/>
  <c r="J65" i="17" s="1"/>
  <c r="H61" i="7" s="1"/>
  <c r="H65" i="17"/>
  <c r="H64" i="19"/>
  <c r="I64" i="19"/>
  <c r="J64" i="19" s="1"/>
  <c r="O58" i="7"/>
  <c r="E55" i="6"/>
  <c r="M55" i="8" s="1"/>
  <c r="H65" i="16"/>
  <c r="I65" i="16"/>
  <c r="J65" i="16" s="1"/>
  <c r="G61" i="7" s="1"/>
  <c r="H64" i="13"/>
  <c r="I64" i="13"/>
  <c r="J64" i="13" s="1"/>
  <c r="I67" i="20"/>
  <c r="J67" i="20" s="1"/>
  <c r="K63" i="7" s="1"/>
  <c r="H67" i="20"/>
  <c r="I67" i="18"/>
  <c r="J67" i="18" s="1"/>
  <c r="I63" i="7" s="1"/>
  <c r="H67" i="18"/>
  <c r="H65" i="12" l="1"/>
  <c r="I65" i="12"/>
  <c r="J65" i="12" s="1"/>
  <c r="C61" i="7" s="1"/>
  <c r="L58" i="8"/>
  <c r="F61" i="7"/>
  <c r="J57" i="8"/>
  <c r="D60" i="7"/>
  <c r="L60" i="7" s="1"/>
  <c r="I65" i="19"/>
  <c r="J65" i="19" s="1"/>
  <c r="H65" i="19"/>
  <c r="I65" i="13"/>
  <c r="J65" i="13" s="1"/>
  <c r="H65" i="13"/>
  <c r="H66" i="14"/>
  <c r="I66" i="14"/>
  <c r="J66" i="14" s="1"/>
  <c r="K58" i="8"/>
  <c r="E61" i="7"/>
  <c r="I66" i="16"/>
  <c r="J66" i="16" s="1"/>
  <c r="G62" i="7" s="1"/>
  <c r="H66" i="16"/>
  <c r="I66" i="17"/>
  <c r="J66" i="17" s="1"/>
  <c r="H62" i="7" s="1"/>
  <c r="H66" i="17"/>
  <c r="B61" i="5"/>
  <c r="B68" i="20"/>
  <c r="A68" i="19"/>
  <c r="B68" i="18"/>
  <c r="B68" i="16"/>
  <c r="B68" i="17"/>
  <c r="B68" i="15"/>
  <c r="B68" i="14"/>
  <c r="B68" i="12"/>
  <c r="B68" i="13"/>
  <c r="N55" i="8"/>
  <c r="O55" i="8"/>
  <c r="I66" i="15"/>
  <c r="J66" i="15" s="1"/>
  <c r="H66" i="15"/>
  <c r="O59" i="7"/>
  <c r="E56" i="6"/>
  <c r="M56" i="8" s="1"/>
  <c r="I68" i="20"/>
  <c r="J68" i="20" s="1"/>
  <c r="K64" i="7" s="1"/>
  <c r="H68" i="20"/>
  <c r="I68" i="18"/>
  <c r="J68" i="18" s="1"/>
  <c r="I64" i="7" s="1"/>
  <c r="H68" i="18"/>
  <c r="I66" i="12" l="1"/>
  <c r="J66" i="12" s="1"/>
  <c r="C62" i="7" s="1"/>
  <c r="H66" i="12"/>
  <c r="B62" i="5"/>
  <c r="A69" i="19"/>
  <c r="B69" i="18"/>
  <c r="B69" i="20"/>
  <c r="B69" i="16"/>
  <c r="B69" i="17"/>
  <c r="B69" i="15"/>
  <c r="B69" i="14"/>
  <c r="B69" i="13"/>
  <c r="B69" i="12"/>
  <c r="I67" i="17"/>
  <c r="J67" i="17" s="1"/>
  <c r="H63" i="7" s="1"/>
  <c r="H67" i="17"/>
  <c r="K59" i="8"/>
  <c r="E62" i="7"/>
  <c r="O60" i="7"/>
  <c r="E57" i="6"/>
  <c r="M57" i="8" s="1"/>
  <c r="O56" i="8"/>
  <c r="N56" i="8"/>
  <c r="H67" i="14"/>
  <c r="I67" i="14"/>
  <c r="J67" i="14" s="1"/>
  <c r="H66" i="19"/>
  <c r="I66" i="19"/>
  <c r="J66" i="19" s="1"/>
  <c r="L59" i="8"/>
  <c r="F62" i="7"/>
  <c r="I67" i="16"/>
  <c r="J67" i="16" s="1"/>
  <c r="G63" i="7" s="1"/>
  <c r="H67" i="16"/>
  <c r="I66" i="13"/>
  <c r="J66" i="13" s="1"/>
  <c r="H66" i="13"/>
  <c r="I67" i="15"/>
  <c r="J67" i="15" s="1"/>
  <c r="H67" i="15"/>
  <c r="D61" i="7"/>
  <c r="L61" i="7" s="1"/>
  <c r="J58" i="8"/>
  <c r="I69" i="20"/>
  <c r="J69" i="20" s="1"/>
  <c r="K65" i="7" s="1"/>
  <c r="H69" i="20"/>
  <c r="I69" i="18"/>
  <c r="J69" i="18" s="1"/>
  <c r="I65" i="7" s="1"/>
  <c r="H69" i="18"/>
  <c r="H67" i="12" l="1"/>
  <c r="I67" i="12"/>
  <c r="J67" i="12" s="1"/>
  <c r="C63" i="7" s="1"/>
  <c r="I67" i="19"/>
  <c r="J67" i="19" s="1"/>
  <c r="H67" i="19"/>
  <c r="D62" i="7"/>
  <c r="L62" i="7" s="1"/>
  <c r="J59" i="8"/>
  <c r="K60" i="8"/>
  <c r="E63" i="7"/>
  <c r="I68" i="17"/>
  <c r="J68" i="17" s="1"/>
  <c r="H64" i="7" s="1"/>
  <c r="H68" i="17"/>
  <c r="O61" i="7"/>
  <c r="E58" i="6"/>
  <c r="I68" i="16"/>
  <c r="J68" i="16" s="1"/>
  <c r="G64" i="7" s="1"/>
  <c r="H68" i="16"/>
  <c r="I68" i="14"/>
  <c r="J68" i="14" s="1"/>
  <c r="H68" i="14"/>
  <c r="I67" i="13"/>
  <c r="J67" i="13" s="1"/>
  <c r="H67" i="13"/>
  <c r="I68" i="15"/>
  <c r="J68" i="15" s="1"/>
  <c r="H68" i="15"/>
  <c r="F63" i="7"/>
  <c r="L60" i="8"/>
  <c r="N57" i="8"/>
  <c r="O57" i="8"/>
  <c r="B63" i="5"/>
  <c r="B70" i="18"/>
  <c r="B70" i="17"/>
  <c r="A70" i="19"/>
  <c r="B70" i="20"/>
  <c r="B70" i="15"/>
  <c r="B70" i="13"/>
  <c r="B70" i="14"/>
  <c r="B70" i="16"/>
  <c r="B70" i="12"/>
  <c r="I70" i="20"/>
  <c r="J70" i="20" s="1"/>
  <c r="K66" i="7" s="1"/>
  <c r="H70" i="20"/>
  <c r="I70" i="18"/>
  <c r="J70" i="18" s="1"/>
  <c r="I66" i="7" s="1"/>
  <c r="H70" i="18"/>
  <c r="H68" i="12" l="1"/>
  <c r="I68" i="12"/>
  <c r="J68" i="12" s="1"/>
  <c r="C64" i="7" s="1"/>
  <c r="H69" i="14"/>
  <c r="I69" i="14"/>
  <c r="J69" i="14" s="1"/>
  <c r="K61" i="8"/>
  <c r="E64" i="7"/>
  <c r="I69" i="16"/>
  <c r="J69" i="16" s="1"/>
  <c r="G65" i="7" s="1"/>
  <c r="H69" i="16"/>
  <c r="O62" i="7"/>
  <c r="E59" i="6"/>
  <c r="M59" i="8" s="1"/>
  <c r="F64" i="7"/>
  <c r="L61" i="8"/>
  <c r="N58" i="8"/>
  <c r="O58" i="8"/>
  <c r="M58" i="8"/>
  <c r="D63" i="7"/>
  <c r="L63" i="7" s="1"/>
  <c r="J60" i="8"/>
  <c r="B64" i="5"/>
  <c r="B71" i="17"/>
  <c r="B71" i="20"/>
  <c r="B71" i="18"/>
  <c r="A71" i="19"/>
  <c r="B71" i="13"/>
  <c r="B71" i="15"/>
  <c r="B71" i="14"/>
  <c r="B71" i="16"/>
  <c r="B71" i="12"/>
  <c r="I68" i="19"/>
  <c r="J68" i="19" s="1"/>
  <c r="H68" i="19"/>
  <c r="I69" i="15"/>
  <c r="J69" i="15" s="1"/>
  <c r="H69" i="15"/>
  <c r="H68" i="13"/>
  <c r="I68" i="13"/>
  <c r="J68" i="13" s="1"/>
  <c r="I69" i="17"/>
  <c r="J69" i="17" s="1"/>
  <c r="H65" i="7" s="1"/>
  <c r="H69" i="17"/>
  <c r="I71" i="20"/>
  <c r="J71" i="20" s="1"/>
  <c r="K67" i="7" s="1"/>
  <c r="H71" i="20"/>
  <c r="I71" i="18"/>
  <c r="J71" i="18" s="1"/>
  <c r="I67" i="7" s="1"/>
  <c r="H71" i="18"/>
  <c r="H69" i="12" l="1"/>
  <c r="I69" i="12"/>
  <c r="J69" i="12" s="1"/>
  <c r="C65" i="7" s="1"/>
  <c r="I70" i="17"/>
  <c r="J70" i="17" s="1"/>
  <c r="H66" i="7" s="1"/>
  <c r="H70" i="17"/>
  <c r="B65" i="5"/>
  <c r="B72" i="20"/>
  <c r="A72" i="19"/>
  <c r="B72" i="15"/>
  <c r="B72" i="14"/>
  <c r="B72" i="16"/>
  <c r="B72" i="18"/>
  <c r="B72" i="17"/>
  <c r="B72" i="12"/>
  <c r="B72" i="13"/>
  <c r="O59" i="8"/>
  <c r="N59" i="8"/>
  <c r="J61" i="8"/>
  <c r="D64" i="7"/>
  <c r="L64" i="7" s="1"/>
  <c r="O63" i="7"/>
  <c r="E60" i="6"/>
  <c r="K62" i="8"/>
  <c r="E65" i="7"/>
  <c r="I69" i="13"/>
  <c r="J69" i="13" s="1"/>
  <c r="H69" i="13"/>
  <c r="I70" i="15"/>
  <c r="J70" i="15" s="1"/>
  <c r="H70" i="15"/>
  <c r="I70" i="16"/>
  <c r="J70" i="16" s="1"/>
  <c r="G66" i="7" s="1"/>
  <c r="H70" i="16"/>
  <c r="I70" i="14"/>
  <c r="J70" i="14" s="1"/>
  <c r="H70" i="14"/>
  <c r="L62" i="8"/>
  <c r="F65" i="7"/>
  <c r="I69" i="19"/>
  <c r="J69" i="19" s="1"/>
  <c r="H69" i="19"/>
  <c r="I72" i="20"/>
  <c r="J72" i="20" s="1"/>
  <c r="K68" i="7" s="1"/>
  <c r="H72" i="20"/>
  <c r="I72" i="18"/>
  <c r="J72" i="18" s="1"/>
  <c r="I68" i="7" s="1"/>
  <c r="H72" i="18"/>
  <c r="H70" i="12" l="1"/>
  <c r="I70" i="12"/>
  <c r="J70" i="12" s="1"/>
  <c r="C66" i="7" s="1"/>
  <c r="J62" i="8"/>
  <c r="D65" i="7"/>
  <c r="L65" i="7" s="1"/>
  <c r="E66" i="7"/>
  <c r="K63" i="8"/>
  <c r="I70" i="19"/>
  <c r="J70" i="19" s="1"/>
  <c r="H70" i="19"/>
  <c r="H71" i="16"/>
  <c r="I71" i="16"/>
  <c r="J71" i="16" s="1"/>
  <c r="G67" i="7" s="1"/>
  <c r="N60" i="8"/>
  <c r="O60" i="8"/>
  <c r="B66" i="5"/>
  <c r="A73" i="19"/>
  <c r="B73" i="18"/>
  <c r="B73" i="20"/>
  <c r="B73" i="16"/>
  <c r="B73" i="14"/>
  <c r="B73" i="13"/>
  <c r="B73" i="17"/>
  <c r="B73" i="15"/>
  <c r="B73" i="12"/>
  <c r="I71" i="14"/>
  <c r="J71" i="14" s="1"/>
  <c r="H71" i="14"/>
  <c r="I71" i="15"/>
  <c r="J71" i="15" s="1"/>
  <c r="H71" i="15"/>
  <c r="M60" i="8"/>
  <c r="I71" i="17"/>
  <c r="J71" i="17" s="1"/>
  <c r="H67" i="7" s="1"/>
  <c r="H71" i="17"/>
  <c r="L63" i="8"/>
  <c r="F66" i="7"/>
  <c r="O64" i="7"/>
  <c r="E61" i="6"/>
  <c r="M61" i="8" s="1"/>
  <c r="I70" i="13"/>
  <c r="J70" i="13" s="1"/>
  <c r="H70" i="13"/>
  <c r="I73" i="20"/>
  <c r="J73" i="20" s="1"/>
  <c r="K69" i="7" s="1"/>
  <c r="H73" i="20"/>
  <c r="I73" i="18"/>
  <c r="J73" i="18" s="1"/>
  <c r="I69" i="7" s="1"/>
  <c r="H73" i="18"/>
  <c r="I71" i="12" l="1"/>
  <c r="J71" i="12" s="1"/>
  <c r="C67" i="7" s="1"/>
  <c r="H71" i="12"/>
  <c r="I72" i="17"/>
  <c r="J72" i="17" s="1"/>
  <c r="H68" i="7" s="1"/>
  <c r="H72" i="17"/>
  <c r="E67" i="7"/>
  <c r="K64" i="8"/>
  <c r="H71" i="13"/>
  <c r="I71" i="13"/>
  <c r="J71" i="13" s="1"/>
  <c r="H72" i="14"/>
  <c r="I72" i="14"/>
  <c r="J72" i="14" s="1"/>
  <c r="J63" i="8"/>
  <c r="D66" i="7"/>
  <c r="L66" i="7" s="1"/>
  <c r="B67" i="5"/>
  <c r="B74" i="18"/>
  <c r="B74" i="17"/>
  <c r="A74" i="19"/>
  <c r="B74" i="13"/>
  <c r="B74" i="14"/>
  <c r="B74" i="20"/>
  <c r="B74" i="16"/>
  <c r="B74" i="15"/>
  <c r="B74" i="12"/>
  <c r="I72" i="15"/>
  <c r="J72" i="15" s="1"/>
  <c r="H72" i="15"/>
  <c r="L64" i="8"/>
  <c r="F67" i="7"/>
  <c r="O65" i="7"/>
  <c r="E62" i="6"/>
  <c r="M62" i="8" s="1"/>
  <c r="I71" i="19"/>
  <c r="J71" i="19" s="1"/>
  <c r="H71" i="19"/>
  <c r="O61" i="8"/>
  <c r="N61" i="8"/>
  <c r="I72" i="16"/>
  <c r="J72" i="16" s="1"/>
  <c r="G68" i="7" s="1"/>
  <c r="H72" i="16"/>
  <c r="I74" i="20"/>
  <c r="J74" i="20" s="1"/>
  <c r="K70" i="7" s="1"/>
  <c r="H74" i="20"/>
  <c r="I74" i="18"/>
  <c r="J74" i="18" s="1"/>
  <c r="I70" i="7" s="1"/>
  <c r="H74" i="18"/>
  <c r="I72" i="12" l="1"/>
  <c r="J72" i="12" s="1"/>
  <c r="C68" i="7" s="1"/>
  <c r="H72" i="12"/>
  <c r="H73" i="15"/>
  <c r="I73" i="15"/>
  <c r="J73" i="15" s="1"/>
  <c r="I73" i="14"/>
  <c r="J73" i="14" s="1"/>
  <c r="H73" i="14"/>
  <c r="D67" i="7"/>
  <c r="L67" i="7" s="1"/>
  <c r="J64" i="8"/>
  <c r="H73" i="16"/>
  <c r="I73" i="16"/>
  <c r="J73" i="16" s="1"/>
  <c r="G69" i="7" s="1"/>
  <c r="I72" i="19"/>
  <c r="J72" i="19" s="1"/>
  <c r="H72" i="19"/>
  <c r="I72" i="13"/>
  <c r="J72" i="13" s="1"/>
  <c r="H72" i="13"/>
  <c r="O62" i="8"/>
  <c r="N62" i="8"/>
  <c r="B68" i="5"/>
  <c r="B75" i="17"/>
  <c r="B75" i="20"/>
  <c r="B75" i="18"/>
  <c r="B75" i="13"/>
  <c r="B75" i="16"/>
  <c r="B75" i="15"/>
  <c r="B75" i="12"/>
  <c r="B75" i="14"/>
  <c r="A75" i="19"/>
  <c r="O66" i="7"/>
  <c r="E63" i="6"/>
  <c r="M63" i="8" s="1"/>
  <c r="I73" i="17"/>
  <c r="J73" i="17" s="1"/>
  <c r="H69" i="7" s="1"/>
  <c r="H73" i="17"/>
  <c r="L65" i="8"/>
  <c r="F68" i="7"/>
  <c r="K65" i="8"/>
  <c r="E68" i="7"/>
  <c r="I75" i="20"/>
  <c r="J75" i="20" s="1"/>
  <c r="K71" i="7" s="1"/>
  <c r="H75" i="20"/>
  <c r="I75" i="18"/>
  <c r="J75" i="18" s="1"/>
  <c r="I71" i="7" s="1"/>
  <c r="H75" i="18"/>
  <c r="I73" i="12" l="1"/>
  <c r="J73" i="12" s="1"/>
  <c r="C69" i="7" s="1"/>
  <c r="H73" i="12"/>
  <c r="H74" i="17"/>
  <c r="I74" i="17"/>
  <c r="J74" i="17" s="1"/>
  <c r="H70" i="7" s="1"/>
  <c r="B69" i="5"/>
  <c r="B76" i="20"/>
  <c r="A76" i="19"/>
  <c r="B76" i="18"/>
  <c r="B76" i="16"/>
  <c r="B76" i="17"/>
  <c r="B76" i="15"/>
  <c r="B76" i="14"/>
  <c r="B76" i="12"/>
  <c r="B76" i="13"/>
  <c r="I74" i="16"/>
  <c r="J74" i="16" s="1"/>
  <c r="G70" i="7" s="1"/>
  <c r="H74" i="16"/>
  <c r="O67" i="7"/>
  <c r="E64" i="6"/>
  <c r="M64" i="8" s="1"/>
  <c r="I73" i="13"/>
  <c r="J73" i="13" s="1"/>
  <c r="H73" i="13"/>
  <c r="I74" i="14"/>
  <c r="J74" i="14" s="1"/>
  <c r="H74" i="14"/>
  <c r="O63" i="8"/>
  <c r="N63" i="8"/>
  <c r="J65" i="8"/>
  <c r="D68" i="7"/>
  <c r="L68" i="7" s="1"/>
  <c r="K66" i="8"/>
  <c r="E69" i="7"/>
  <c r="I73" i="19"/>
  <c r="J73" i="19" s="1"/>
  <c r="H73" i="19"/>
  <c r="L66" i="8"/>
  <c r="F69" i="7"/>
  <c r="I74" i="15"/>
  <c r="J74" i="15" s="1"/>
  <c r="H74" i="15"/>
  <c r="I76" i="20"/>
  <c r="J76" i="20" s="1"/>
  <c r="K72" i="7" s="1"/>
  <c r="H76" i="20"/>
  <c r="I76" i="18"/>
  <c r="J76" i="18" s="1"/>
  <c r="I72" i="7" s="1"/>
  <c r="H76" i="18"/>
  <c r="I74" i="12" l="1"/>
  <c r="J74" i="12" s="1"/>
  <c r="C70" i="7" s="1"/>
  <c r="H74" i="12"/>
  <c r="I75" i="15"/>
  <c r="J75" i="15" s="1"/>
  <c r="H75" i="15"/>
  <c r="K67" i="8"/>
  <c r="E70" i="7"/>
  <c r="H75" i="16"/>
  <c r="I75" i="16"/>
  <c r="J75" i="16" s="1"/>
  <c r="G71" i="7" s="1"/>
  <c r="O68" i="7"/>
  <c r="E65" i="6"/>
  <c r="M65" i="8" s="1"/>
  <c r="H74" i="13"/>
  <c r="I74" i="13"/>
  <c r="J74" i="13" s="1"/>
  <c r="D69" i="7"/>
  <c r="L69" i="7" s="1"/>
  <c r="J66" i="8"/>
  <c r="N64" i="8"/>
  <c r="O64" i="8"/>
  <c r="B70" i="5"/>
  <c r="A77" i="19"/>
  <c r="B77" i="18"/>
  <c r="B77" i="20"/>
  <c r="B77" i="16"/>
  <c r="B77" i="17"/>
  <c r="B77" i="15"/>
  <c r="B77" i="14"/>
  <c r="B77" i="13"/>
  <c r="B77" i="12"/>
  <c r="I75" i="14"/>
  <c r="J75" i="14" s="1"/>
  <c r="H75" i="14"/>
  <c r="I74" i="19"/>
  <c r="J74" i="19" s="1"/>
  <c r="H74" i="19"/>
  <c r="L67" i="8"/>
  <c r="F70" i="7"/>
  <c r="I75" i="17"/>
  <c r="J75" i="17" s="1"/>
  <c r="H71" i="7" s="1"/>
  <c r="H75" i="17"/>
  <c r="I77" i="20"/>
  <c r="J77" i="20" s="1"/>
  <c r="K73" i="7" s="1"/>
  <c r="H77" i="20"/>
  <c r="I77" i="18"/>
  <c r="J77" i="18" s="1"/>
  <c r="I73" i="7" s="1"/>
  <c r="H77" i="18"/>
  <c r="I75" i="12" l="1"/>
  <c r="J75" i="12" s="1"/>
  <c r="C71" i="7" s="1"/>
  <c r="H75" i="12"/>
  <c r="I76" i="14"/>
  <c r="J76" i="14" s="1"/>
  <c r="H76" i="14"/>
  <c r="O69" i="7"/>
  <c r="E66" i="6"/>
  <c r="M66" i="8" s="1"/>
  <c r="I76" i="16"/>
  <c r="J76" i="16" s="1"/>
  <c r="G72" i="7" s="1"/>
  <c r="H76" i="16"/>
  <c r="H76" i="17"/>
  <c r="I76" i="17"/>
  <c r="J76" i="17" s="1"/>
  <c r="H72" i="7" s="1"/>
  <c r="K68" i="8"/>
  <c r="E71" i="7"/>
  <c r="D70" i="7"/>
  <c r="L70" i="7" s="1"/>
  <c r="J67" i="8"/>
  <c r="B71" i="5"/>
  <c r="B78" i="18"/>
  <c r="B78" i="17"/>
  <c r="A78" i="19"/>
  <c r="B78" i="15"/>
  <c r="B78" i="13"/>
  <c r="B78" i="14"/>
  <c r="B78" i="20"/>
  <c r="B78" i="16"/>
  <c r="B78" i="12"/>
  <c r="I75" i="13"/>
  <c r="J75" i="13" s="1"/>
  <c r="H75" i="13"/>
  <c r="I76" i="15"/>
  <c r="J76" i="15" s="1"/>
  <c r="H76" i="15"/>
  <c r="N65" i="8"/>
  <c r="O65" i="8"/>
  <c r="F71" i="7"/>
  <c r="L68" i="8"/>
  <c r="I75" i="19"/>
  <c r="J75" i="19" s="1"/>
  <c r="H75" i="19"/>
  <c r="I78" i="20"/>
  <c r="J78" i="20" s="1"/>
  <c r="K74" i="7" s="1"/>
  <c r="H78" i="20"/>
  <c r="I78" i="18"/>
  <c r="J78" i="18" s="1"/>
  <c r="I74" i="7" s="1"/>
  <c r="H78" i="18"/>
  <c r="I76" i="12" l="1"/>
  <c r="J76" i="12" s="1"/>
  <c r="C72" i="7" s="1"/>
  <c r="H76" i="12"/>
  <c r="B72" i="5"/>
  <c r="B79" i="17"/>
  <c r="B79" i="20"/>
  <c r="B79" i="18"/>
  <c r="B79" i="13"/>
  <c r="B79" i="15"/>
  <c r="B79" i="14"/>
  <c r="A79" i="19"/>
  <c r="B79" i="16"/>
  <c r="B79" i="12"/>
  <c r="H77" i="17"/>
  <c r="I77" i="17"/>
  <c r="J77" i="17" s="1"/>
  <c r="H73" i="7" s="1"/>
  <c r="I77" i="16"/>
  <c r="J77" i="16" s="1"/>
  <c r="G73" i="7" s="1"/>
  <c r="H77" i="16"/>
  <c r="I76" i="19"/>
  <c r="J76" i="19" s="1"/>
  <c r="H76" i="19"/>
  <c r="I77" i="15"/>
  <c r="J77" i="15" s="1"/>
  <c r="H77" i="15"/>
  <c r="O70" i="7"/>
  <c r="E67" i="6"/>
  <c r="O66" i="8"/>
  <c r="N66" i="8"/>
  <c r="F72" i="7"/>
  <c r="L69" i="8"/>
  <c r="I76" i="13"/>
  <c r="J76" i="13" s="1"/>
  <c r="H76" i="13"/>
  <c r="I77" i="14"/>
  <c r="J77" i="14" s="1"/>
  <c r="H77" i="14"/>
  <c r="J68" i="8"/>
  <c r="D71" i="7"/>
  <c r="L71" i="7" s="1"/>
  <c r="K69" i="8"/>
  <c r="E72" i="7"/>
  <c r="I79" i="20"/>
  <c r="J79" i="20" s="1"/>
  <c r="K75" i="7" s="1"/>
  <c r="H79" i="20"/>
  <c r="I79" i="18"/>
  <c r="J79" i="18" s="1"/>
  <c r="I75" i="7" s="1"/>
  <c r="H79" i="18"/>
  <c r="I77" i="12" l="1"/>
  <c r="J77" i="12" s="1"/>
  <c r="C73" i="7" s="1"/>
  <c r="H77" i="12"/>
  <c r="K70" i="8"/>
  <c r="E73" i="7"/>
  <c r="I77" i="13"/>
  <c r="J77" i="13" s="1"/>
  <c r="H77" i="13"/>
  <c r="O67" i="8"/>
  <c r="N67" i="8"/>
  <c r="J69" i="8"/>
  <c r="D72" i="7"/>
  <c r="L72" i="7" s="1"/>
  <c r="I78" i="15"/>
  <c r="J78" i="15" s="1"/>
  <c r="H78" i="15"/>
  <c r="L70" i="8"/>
  <c r="F73" i="7"/>
  <c r="I78" i="17"/>
  <c r="J78" i="17" s="1"/>
  <c r="H74" i="7" s="1"/>
  <c r="H78" i="17"/>
  <c r="M67" i="8"/>
  <c r="I78" i="16"/>
  <c r="J78" i="16" s="1"/>
  <c r="G74" i="7" s="1"/>
  <c r="H78" i="16"/>
  <c r="O71" i="7"/>
  <c r="E68" i="6"/>
  <c r="M68" i="8" s="1"/>
  <c r="I78" i="14"/>
  <c r="J78" i="14" s="1"/>
  <c r="H78" i="14"/>
  <c r="I77" i="19"/>
  <c r="J77" i="19" s="1"/>
  <c r="H77" i="19"/>
  <c r="B73" i="5"/>
  <c r="B80" i="20"/>
  <c r="A80" i="19"/>
  <c r="B80" i="15"/>
  <c r="B80" i="14"/>
  <c r="B80" i="16"/>
  <c r="B80" i="18"/>
  <c r="B80" i="17"/>
  <c r="B80" i="12"/>
  <c r="B80" i="13"/>
  <c r="I80" i="20"/>
  <c r="J80" i="20" s="1"/>
  <c r="K76" i="7" s="1"/>
  <c r="H80" i="20"/>
  <c r="I80" i="18"/>
  <c r="J80" i="18" s="1"/>
  <c r="I76" i="7" s="1"/>
  <c r="H80" i="18"/>
  <c r="H78" i="12" l="1"/>
  <c r="I78" i="12"/>
  <c r="J78" i="12" s="1"/>
  <c r="C74" i="7" s="1"/>
  <c r="O72" i="7"/>
  <c r="E69" i="6"/>
  <c r="M69" i="8" s="1"/>
  <c r="I79" i="16"/>
  <c r="J79" i="16" s="1"/>
  <c r="G75" i="7" s="1"/>
  <c r="H79" i="16"/>
  <c r="B74" i="5"/>
  <c r="A81" i="19"/>
  <c r="B81" i="18"/>
  <c r="B81" i="20"/>
  <c r="B81" i="16"/>
  <c r="B81" i="14"/>
  <c r="B81" i="13"/>
  <c r="B81" i="17"/>
  <c r="B81" i="15"/>
  <c r="B81" i="12"/>
  <c r="I78" i="19"/>
  <c r="J78" i="19" s="1"/>
  <c r="H78" i="19"/>
  <c r="I79" i="15"/>
  <c r="J79" i="15" s="1"/>
  <c r="H79" i="15"/>
  <c r="L71" i="8"/>
  <c r="F74" i="7"/>
  <c r="H78" i="13"/>
  <c r="I78" i="13"/>
  <c r="J78" i="13" s="1"/>
  <c r="J70" i="8"/>
  <c r="D73" i="7"/>
  <c r="L73" i="7" s="1"/>
  <c r="I79" i="14"/>
  <c r="J79" i="14" s="1"/>
  <c r="H79" i="14"/>
  <c r="E74" i="7"/>
  <c r="K71" i="8"/>
  <c r="H79" i="17"/>
  <c r="I79" i="17"/>
  <c r="J79" i="17" s="1"/>
  <c r="H75" i="7" s="1"/>
  <c r="N68" i="8"/>
  <c r="O68" i="8"/>
  <c r="I81" i="20"/>
  <c r="J81" i="20" s="1"/>
  <c r="K77" i="7" s="1"/>
  <c r="H81" i="20"/>
  <c r="I81" i="18"/>
  <c r="J81" i="18" s="1"/>
  <c r="I77" i="7" s="1"/>
  <c r="H81" i="18"/>
  <c r="I79" i="12" l="1"/>
  <c r="J79" i="12" s="1"/>
  <c r="C75" i="7" s="1"/>
  <c r="H79" i="12"/>
  <c r="I79" i="19"/>
  <c r="J79" i="19" s="1"/>
  <c r="H79" i="19"/>
  <c r="J71" i="8"/>
  <c r="D74" i="7"/>
  <c r="L74" i="7" s="1"/>
  <c r="H79" i="13"/>
  <c r="I79" i="13"/>
  <c r="J79" i="13" s="1"/>
  <c r="B75" i="5"/>
  <c r="B82" i="18"/>
  <c r="B82" i="17"/>
  <c r="A82" i="19"/>
  <c r="B82" i="20"/>
  <c r="B82" i="13"/>
  <c r="B82" i="14"/>
  <c r="B82" i="16"/>
  <c r="B82" i="15"/>
  <c r="B82" i="12"/>
  <c r="I80" i="14"/>
  <c r="J80" i="14" s="1"/>
  <c r="H80" i="14"/>
  <c r="H80" i="16"/>
  <c r="I80" i="16"/>
  <c r="J80" i="16" s="1"/>
  <c r="G76" i="7" s="1"/>
  <c r="E75" i="7"/>
  <c r="K72" i="8"/>
  <c r="H80" i="15"/>
  <c r="I80" i="15"/>
  <c r="J80" i="15" s="1"/>
  <c r="N69" i="8"/>
  <c r="O69" i="8"/>
  <c r="I80" i="17"/>
  <c r="J80" i="17" s="1"/>
  <c r="H76" i="7" s="1"/>
  <c r="H80" i="17"/>
  <c r="O73" i="7"/>
  <c r="E70" i="6"/>
  <c r="L72" i="8"/>
  <c r="F75" i="7"/>
  <c r="I82" i="20"/>
  <c r="J82" i="20" s="1"/>
  <c r="K78" i="7" s="1"/>
  <c r="H82" i="20"/>
  <c r="I82" i="18"/>
  <c r="J82" i="18" s="1"/>
  <c r="I78" i="7" s="1"/>
  <c r="H82" i="18"/>
  <c r="H80" i="12" l="1"/>
  <c r="I80" i="12"/>
  <c r="J80" i="12" s="1"/>
  <c r="C76" i="7" s="1"/>
  <c r="I81" i="17"/>
  <c r="J81" i="17" s="1"/>
  <c r="H77" i="7" s="1"/>
  <c r="H81" i="17"/>
  <c r="D75" i="7"/>
  <c r="L75" i="7" s="1"/>
  <c r="J72" i="8"/>
  <c r="O74" i="7"/>
  <c r="E71" i="6"/>
  <c r="H81" i="16"/>
  <c r="I81" i="16"/>
  <c r="J81" i="16" s="1"/>
  <c r="G77" i="7" s="1"/>
  <c r="O70" i="8"/>
  <c r="N70" i="8"/>
  <c r="L73" i="8"/>
  <c r="F76" i="7"/>
  <c r="I81" i="14"/>
  <c r="J81" i="14" s="1"/>
  <c r="H81" i="14"/>
  <c r="I81" i="15"/>
  <c r="J81" i="15" s="1"/>
  <c r="H81" i="15"/>
  <c r="K73" i="8"/>
  <c r="E76" i="7"/>
  <c r="I80" i="19"/>
  <c r="J80" i="19" s="1"/>
  <c r="H80" i="19"/>
  <c r="I80" i="13"/>
  <c r="J80" i="13" s="1"/>
  <c r="H80" i="13"/>
  <c r="B76" i="5"/>
  <c r="B83" i="17"/>
  <c r="B83" i="20"/>
  <c r="B83" i="18"/>
  <c r="B83" i="13"/>
  <c r="A83" i="19"/>
  <c r="B83" i="16"/>
  <c r="B83" i="15"/>
  <c r="B83" i="12"/>
  <c r="B83" i="14"/>
  <c r="M70" i="8"/>
  <c r="I83" i="20"/>
  <c r="J83" i="20" s="1"/>
  <c r="K79" i="7" s="1"/>
  <c r="H83" i="20"/>
  <c r="I83" i="18"/>
  <c r="J83" i="18" s="1"/>
  <c r="I79" i="7" s="1"/>
  <c r="H83" i="18"/>
  <c r="H81" i="12" l="1"/>
  <c r="I81" i="12"/>
  <c r="J81" i="12" s="1"/>
  <c r="C77" i="7" s="1"/>
  <c r="I81" i="19"/>
  <c r="J81" i="19" s="1"/>
  <c r="H81" i="19"/>
  <c r="O71" i="8"/>
  <c r="N71" i="8"/>
  <c r="K74" i="8"/>
  <c r="E77" i="7"/>
  <c r="B77" i="5"/>
  <c r="B84" i="20"/>
  <c r="B84" i="16"/>
  <c r="A84" i="19"/>
  <c r="B84" i="17"/>
  <c r="B84" i="15"/>
  <c r="B84" i="14"/>
  <c r="B84" i="13"/>
  <c r="B84" i="12"/>
  <c r="B84" i="18"/>
  <c r="O75" i="7"/>
  <c r="E72" i="6"/>
  <c r="J73" i="8"/>
  <c r="D76" i="7"/>
  <c r="L76" i="7" s="1"/>
  <c r="I82" i="15"/>
  <c r="J82" i="15" s="1"/>
  <c r="H82" i="15"/>
  <c r="M71" i="8"/>
  <c r="L74" i="8"/>
  <c r="F77" i="7"/>
  <c r="H82" i="17"/>
  <c r="I82" i="17"/>
  <c r="J82" i="17" s="1"/>
  <c r="H78" i="7" s="1"/>
  <c r="I81" i="13"/>
  <c r="J81" i="13" s="1"/>
  <c r="H81" i="13"/>
  <c r="I82" i="14"/>
  <c r="J82" i="14" s="1"/>
  <c r="H82" i="14"/>
  <c r="I82" i="16"/>
  <c r="J82" i="16" s="1"/>
  <c r="G78" i="7" s="1"/>
  <c r="H82" i="16"/>
  <c r="I84" i="20"/>
  <c r="J84" i="20" s="1"/>
  <c r="K80" i="7" s="1"/>
  <c r="H84" i="20"/>
  <c r="I84" i="18"/>
  <c r="J84" i="18" s="1"/>
  <c r="I80" i="7" s="1"/>
  <c r="H84" i="18"/>
  <c r="I82" i="12" l="1"/>
  <c r="J82" i="12" s="1"/>
  <c r="C78" i="7" s="1"/>
  <c r="H82" i="12"/>
  <c r="O76" i="7"/>
  <c r="E73" i="6"/>
  <c r="M73" i="8" s="1"/>
  <c r="O72" i="8"/>
  <c r="N72" i="8"/>
  <c r="H83" i="16"/>
  <c r="I83" i="16"/>
  <c r="J83" i="16" s="1"/>
  <c r="G79" i="7" s="1"/>
  <c r="I83" i="14"/>
  <c r="J83" i="14" s="1"/>
  <c r="H83" i="14"/>
  <c r="H82" i="13"/>
  <c r="I82" i="13"/>
  <c r="J82" i="13" s="1"/>
  <c r="A85" i="19"/>
  <c r="B85" i="18"/>
  <c r="B85" i="20"/>
  <c r="B85" i="17"/>
  <c r="B85" i="16"/>
  <c r="B85" i="15"/>
  <c r="B85" i="14"/>
  <c r="B85" i="13"/>
  <c r="B85" i="12"/>
  <c r="K75" i="8"/>
  <c r="E78" i="7"/>
  <c r="D77" i="7"/>
  <c r="L77" i="7" s="1"/>
  <c r="J74" i="8"/>
  <c r="I83" i="15"/>
  <c r="J83" i="15" s="1"/>
  <c r="H83" i="15"/>
  <c r="M72" i="8"/>
  <c r="I82" i="19"/>
  <c r="J82" i="19" s="1"/>
  <c r="H82" i="19"/>
  <c r="I83" i="17"/>
  <c r="J83" i="17" s="1"/>
  <c r="H79" i="7" s="1"/>
  <c r="H83" i="17"/>
  <c r="L75" i="8"/>
  <c r="F78" i="7"/>
  <c r="I85" i="20"/>
  <c r="J85" i="20" s="1"/>
  <c r="K81" i="7" s="1"/>
  <c r="H85" i="20"/>
  <c r="I85" i="18"/>
  <c r="J85" i="18" s="1"/>
  <c r="I81" i="7" s="1"/>
  <c r="H85" i="18"/>
  <c r="I86" i="18" l="1"/>
  <c r="J86" i="18" s="1"/>
  <c r="H86" i="18"/>
  <c r="I86" i="20"/>
  <c r="J86" i="20" s="1"/>
  <c r="H86" i="20"/>
  <c r="H83" i="12"/>
  <c r="I83" i="12"/>
  <c r="J83" i="12" s="1"/>
  <c r="C79" i="7" s="1"/>
  <c r="I84" i="15"/>
  <c r="J84" i="15" s="1"/>
  <c r="H84" i="15"/>
  <c r="D78" i="7"/>
  <c r="L78" i="7" s="1"/>
  <c r="J75" i="8"/>
  <c r="I84" i="14"/>
  <c r="J84" i="14" s="1"/>
  <c r="H84" i="14"/>
  <c r="I84" i="17"/>
  <c r="J84" i="17" s="1"/>
  <c r="H80" i="7" s="1"/>
  <c r="H84" i="17"/>
  <c r="O77" i="7"/>
  <c r="E74" i="6"/>
  <c r="M74" i="8" s="1"/>
  <c r="K76" i="8"/>
  <c r="E79" i="7"/>
  <c r="I83" i="19"/>
  <c r="J83" i="19" s="1"/>
  <c r="H83" i="19"/>
  <c r="H84" i="16"/>
  <c r="I84" i="16"/>
  <c r="J84" i="16" s="1"/>
  <c r="G80" i="7" s="1"/>
  <c r="F79" i="7"/>
  <c r="L76" i="8"/>
  <c r="N73" i="8"/>
  <c r="O73" i="8"/>
  <c r="H83" i="13"/>
  <c r="I83" i="13"/>
  <c r="J83" i="13" s="1"/>
  <c r="A86" i="19"/>
  <c r="I87" i="20" l="1"/>
  <c r="J87" i="20" s="1"/>
  <c r="H87" i="20"/>
  <c r="I87" i="18"/>
  <c r="J87" i="18" s="1"/>
  <c r="H87" i="18"/>
  <c r="H84" i="12"/>
  <c r="I84" i="12"/>
  <c r="J84" i="12" s="1"/>
  <c r="C80" i="7" s="1"/>
  <c r="K77" i="8"/>
  <c r="E80" i="7"/>
  <c r="I85" i="14"/>
  <c r="J85" i="14" s="1"/>
  <c r="H85" i="14"/>
  <c r="I84" i="19"/>
  <c r="J84" i="19" s="1"/>
  <c r="H84" i="19"/>
  <c r="A87" i="19"/>
  <c r="O74" i="8"/>
  <c r="N74" i="8"/>
  <c r="D79" i="7"/>
  <c r="L79" i="7" s="1"/>
  <c r="J76" i="8"/>
  <c r="O78" i="7"/>
  <c r="E75" i="6"/>
  <c r="M75" i="8" s="1"/>
  <c r="H84" i="13"/>
  <c r="I84" i="13"/>
  <c r="J84" i="13" s="1"/>
  <c r="H85" i="16"/>
  <c r="I85" i="16"/>
  <c r="J85" i="16" s="1"/>
  <c r="G81" i="7" s="1"/>
  <c r="I85" i="17"/>
  <c r="J85" i="17" s="1"/>
  <c r="H81" i="7" s="1"/>
  <c r="H85" i="17"/>
  <c r="I85" i="15"/>
  <c r="J85" i="15" s="1"/>
  <c r="H85" i="15"/>
  <c r="F80" i="7"/>
  <c r="L77" i="8"/>
  <c r="I88" i="18" l="1"/>
  <c r="J88" i="18" s="1"/>
  <c r="H88" i="18"/>
  <c r="I86" i="15"/>
  <c r="J86" i="15" s="1"/>
  <c r="H86" i="15"/>
  <c r="I86" i="16"/>
  <c r="J86" i="16" s="1"/>
  <c r="H86" i="16"/>
  <c r="I86" i="14"/>
  <c r="J86" i="14" s="1"/>
  <c r="H86" i="14"/>
  <c r="I88" i="20"/>
  <c r="J88" i="20" s="1"/>
  <c r="H88" i="20"/>
  <c r="I86" i="17"/>
  <c r="J86" i="17" s="1"/>
  <c r="H86" i="17"/>
  <c r="H85" i="12"/>
  <c r="I85" i="12"/>
  <c r="J85" i="12" s="1"/>
  <c r="C81" i="7" s="1"/>
  <c r="J77" i="8"/>
  <c r="D80" i="7"/>
  <c r="L80" i="7" s="1"/>
  <c r="K78" i="8"/>
  <c r="E81" i="7"/>
  <c r="I85" i="13"/>
  <c r="J85" i="13" s="1"/>
  <c r="H85" i="13"/>
  <c r="N75" i="8"/>
  <c r="O75" i="8"/>
  <c r="A88" i="19"/>
  <c r="L78" i="8"/>
  <c r="F81" i="7"/>
  <c r="I85" i="19"/>
  <c r="J85" i="19" s="1"/>
  <c r="H85" i="19"/>
  <c r="O79" i="7"/>
  <c r="E76" i="6"/>
  <c r="I87" i="14" l="1"/>
  <c r="J87" i="14" s="1"/>
  <c r="H87" i="14"/>
  <c r="I87" i="16"/>
  <c r="J87" i="16" s="1"/>
  <c r="H87" i="16"/>
  <c r="I86" i="12"/>
  <c r="J86" i="12" s="1"/>
  <c r="H86" i="12"/>
  <c r="I86" i="19"/>
  <c r="J86" i="19" s="1"/>
  <c r="H86" i="19"/>
  <c r="I87" i="17"/>
  <c r="J87" i="17" s="1"/>
  <c r="H87" i="17"/>
  <c r="I87" i="15"/>
  <c r="J87" i="15" s="1"/>
  <c r="H87" i="15"/>
  <c r="I86" i="13"/>
  <c r="J86" i="13" s="1"/>
  <c r="H86" i="13"/>
  <c r="I89" i="20"/>
  <c r="J89" i="20" s="1"/>
  <c r="H89" i="20"/>
  <c r="I89" i="18"/>
  <c r="J89" i="18" s="1"/>
  <c r="H89" i="18"/>
  <c r="O80" i="7"/>
  <c r="E77" i="6"/>
  <c r="A89" i="19"/>
  <c r="N76" i="8"/>
  <c r="O76" i="8"/>
  <c r="J78" i="8"/>
  <c r="D81" i="7"/>
  <c r="L81" i="7" s="1"/>
  <c r="M76" i="8"/>
  <c r="I90" i="20" l="1"/>
  <c r="J90" i="20" s="1"/>
  <c r="H90" i="20"/>
  <c r="I87" i="19"/>
  <c r="J87" i="19" s="1"/>
  <c r="H87" i="19"/>
  <c r="I87" i="13"/>
  <c r="J87" i="13" s="1"/>
  <c r="H87" i="13"/>
  <c r="I87" i="12"/>
  <c r="J87" i="12" s="1"/>
  <c r="H87" i="12"/>
  <c r="I88" i="15"/>
  <c r="J88" i="15" s="1"/>
  <c r="H88" i="15"/>
  <c r="I88" i="16"/>
  <c r="J88" i="16" s="1"/>
  <c r="H88" i="16"/>
  <c r="I90" i="18"/>
  <c r="J90" i="18" s="1"/>
  <c r="H90" i="18"/>
  <c r="I88" i="17"/>
  <c r="J88" i="17" s="1"/>
  <c r="H88" i="17"/>
  <c r="I88" i="14"/>
  <c r="J88" i="14" s="1"/>
  <c r="H88" i="14"/>
  <c r="A90" i="19"/>
  <c r="N77" i="8"/>
  <c r="O77" i="8"/>
  <c r="O81" i="7"/>
  <c r="E78" i="6"/>
  <c r="M77" i="8"/>
  <c r="I89" i="17" l="1"/>
  <c r="J89" i="17" s="1"/>
  <c r="H89" i="17"/>
  <c r="I88" i="12"/>
  <c r="J88" i="12" s="1"/>
  <c r="H88" i="12"/>
  <c r="I91" i="18"/>
  <c r="J91" i="18" s="1"/>
  <c r="H91" i="18"/>
  <c r="I88" i="13"/>
  <c r="J88" i="13" s="1"/>
  <c r="H88" i="13"/>
  <c r="I89" i="16"/>
  <c r="J89" i="16" s="1"/>
  <c r="H89" i="16"/>
  <c r="I88" i="19"/>
  <c r="J88" i="19" s="1"/>
  <c r="H88" i="19"/>
  <c r="I89" i="14"/>
  <c r="J89" i="14" s="1"/>
  <c r="H89" i="14"/>
  <c r="I89" i="15"/>
  <c r="J89" i="15" s="1"/>
  <c r="H89" i="15"/>
  <c r="I91" i="20"/>
  <c r="J91" i="20" s="1"/>
  <c r="H91" i="20"/>
  <c r="N78" i="8"/>
  <c r="O78" i="8"/>
  <c r="M78" i="8"/>
  <c r="A91" i="19"/>
  <c r="I90" i="15" l="1"/>
  <c r="J90" i="15" s="1"/>
  <c r="H90" i="15"/>
  <c r="I90" i="14"/>
  <c r="J90" i="14" s="1"/>
  <c r="H90" i="14"/>
  <c r="I92" i="18"/>
  <c r="J92" i="18" s="1"/>
  <c r="H92" i="18"/>
  <c r="I89" i="13"/>
  <c r="J89" i="13" s="1"/>
  <c r="H89" i="13"/>
  <c r="I89" i="19"/>
  <c r="J89" i="19" s="1"/>
  <c r="H89" i="19"/>
  <c r="I89" i="12"/>
  <c r="J89" i="12" s="1"/>
  <c r="H89" i="12"/>
  <c r="I92" i="20"/>
  <c r="J92" i="20" s="1"/>
  <c r="H92" i="20"/>
  <c r="I90" i="16"/>
  <c r="J90" i="16" s="1"/>
  <c r="H90" i="16"/>
  <c r="I90" i="17"/>
  <c r="J90" i="17" s="1"/>
  <c r="H90" i="17"/>
  <c r="A92" i="19"/>
  <c r="I91" i="16" l="1"/>
  <c r="J91" i="16" s="1"/>
  <c r="H91" i="16"/>
  <c r="I90" i="13"/>
  <c r="J90" i="13" s="1"/>
  <c r="H90" i="13"/>
  <c r="H93" i="20"/>
  <c r="I93" i="20"/>
  <c r="J93" i="20" s="1"/>
  <c r="I93" i="18"/>
  <c r="J93" i="18" s="1"/>
  <c r="H93" i="18"/>
  <c r="I90" i="12"/>
  <c r="J90" i="12" s="1"/>
  <c r="H90" i="12"/>
  <c r="I91" i="14"/>
  <c r="J91" i="14" s="1"/>
  <c r="H91" i="14"/>
  <c r="I91" i="17"/>
  <c r="J91" i="17" s="1"/>
  <c r="H91" i="17"/>
  <c r="I90" i="19"/>
  <c r="J90" i="19" s="1"/>
  <c r="H90" i="19"/>
  <c r="I91" i="15"/>
  <c r="J91" i="15" s="1"/>
  <c r="H91" i="15"/>
  <c r="A93" i="19"/>
  <c r="I91" i="19" l="1"/>
  <c r="J91" i="19" s="1"/>
  <c r="H91" i="19"/>
  <c r="I94" i="18"/>
  <c r="J94" i="18" s="1"/>
  <c r="H94" i="18"/>
  <c r="I94" i="20"/>
  <c r="J94" i="20" s="1"/>
  <c r="H94" i="20"/>
  <c r="I92" i="14"/>
  <c r="J92" i="14" s="1"/>
  <c r="H92" i="14"/>
  <c r="I91" i="13"/>
  <c r="J91" i="13" s="1"/>
  <c r="H91" i="13"/>
  <c r="I92" i="17"/>
  <c r="J92" i="17" s="1"/>
  <c r="H92" i="17"/>
  <c r="I92" i="15"/>
  <c r="J92" i="15" s="1"/>
  <c r="H92" i="15"/>
  <c r="I91" i="12"/>
  <c r="J91" i="12" s="1"/>
  <c r="H91" i="12"/>
  <c r="I92" i="16"/>
  <c r="J92" i="16" s="1"/>
  <c r="H92" i="16"/>
  <c r="A94" i="19"/>
  <c r="I92" i="12" l="1"/>
  <c r="J92" i="12" s="1"/>
  <c r="H92" i="12"/>
  <c r="I93" i="14"/>
  <c r="J93" i="14" s="1"/>
  <c r="H93" i="14"/>
  <c r="I93" i="15"/>
  <c r="J93" i="15" s="1"/>
  <c r="H93" i="15"/>
  <c r="I95" i="20"/>
  <c r="J95" i="20" s="1"/>
  <c r="H95" i="20"/>
  <c r="I93" i="17"/>
  <c r="J93" i="17" s="1"/>
  <c r="H93" i="17"/>
  <c r="I95" i="18"/>
  <c r="J95" i="18" s="1"/>
  <c r="H95" i="18"/>
  <c r="I93" i="16"/>
  <c r="J93" i="16" s="1"/>
  <c r="H93" i="16"/>
  <c r="I92" i="13"/>
  <c r="J92" i="13" s="1"/>
  <c r="H92" i="13"/>
  <c r="I92" i="19"/>
  <c r="J92" i="19" s="1"/>
  <c r="H92" i="19"/>
  <c r="A95" i="19"/>
  <c r="I93" i="13" l="1"/>
  <c r="J93" i="13" s="1"/>
  <c r="H93" i="13"/>
  <c r="I96" i="20"/>
  <c r="J96" i="20" s="1"/>
  <c r="H96" i="20"/>
  <c r="I94" i="16"/>
  <c r="J94" i="16" s="1"/>
  <c r="H94" i="16"/>
  <c r="I94" i="15"/>
  <c r="J94" i="15" s="1"/>
  <c r="H94" i="15"/>
  <c r="I96" i="18"/>
  <c r="J96" i="18" s="1"/>
  <c r="H96" i="18"/>
  <c r="I94" i="14"/>
  <c r="J94" i="14" s="1"/>
  <c r="H94" i="14"/>
  <c r="I93" i="19"/>
  <c r="J93" i="19" s="1"/>
  <c r="H93" i="19"/>
  <c r="I94" i="17"/>
  <c r="J94" i="17" s="1"/>
  <c r="H94" i="17"/>
  <c r="H93" i="12"/>
  <c r="I93" i="12"/>
  <c r="J93" i="12" s="1"/>
  <c r="A96" i="19"/>
  <c r="I95" i="17" l="1"/>
  <c r="J95" i="17" s="1"/>
  <c r="H95" i="17"/>
  <c r="I95" i="15"/>
  <c r="J95" i="15" s="1"/>
  <c r="H95" i="15"/>
  <c r="I94" i="19"/>
  <c r="J94" i="19" s="1"/>
  <c r="H94" i="19"/>
  <c r="I95" i="16"/>
  <c r="J95" i="16" s="1"/>
  <c r="H95" i="16"/>
  <c r="I95" i="14"/>
  <c r="J95" i="14" s="1"/>
  <c r="H95" i="14"/>
  <c r="I97" i="20"/>
  <c r="J97" i="20" s="1"/>
  <c r="H97" i="20"/>
  <c r="I97" i="18"/>
  <c r="J97" i="18" s="1"/>
  <c r="H97" i="18"/>
  <c r="I94" i="13"/>
  <c r="J94" i="13" s="1"/>
  <c r="H94" i="13"/>
  <c r="I94" i="12"/>
  <c r="J94" i="12" s="1"/>
  <c r="H94" i="12"/>
  <c r="A97" i="19"/>
  <c r="I98" i="18" l="1"/>
  <c r="J98" i="18" s="1"/>
  <c r="H98" i="18"/>
  <c r="I95" i="19"/>
  <c r="J95" i="19" s="1"/>
  <c r="H95" i="19"/>
  <c r="I96" i="16"/>
  <c r="J96" i="16" s="1"/>
  <c r="H96" i="16"/>
  <c r="H98" i="20"/>
  <c r="I98" i="20"/>
  <c r="J98" i="20" s="1"/>
  <c r="I96" i="15"/>
  <c r="J96" i="15" s="1"/>
  <c r="H96" i="15"/>
  <c r="I95" i="13"/>
  <c r="J95" i="13" s="1"/>
  <c r="H95" i="13"/>
  <c r="I95" i="12"/>
  <c r="J95" i="12" s="1"/>
  <c r="H95" i="12"/>
  <c r="I96" i="14"/>
  <c r="J96" i="14" s="1"/>
  <c r="H96" i="14"/>
  <c r="I96" i="17"/>
  <c r="J96" i="17" s="1"/>
  <c r="H96" i="17"/>
  <c r="A108" i="19"/>
  <c r="I97" i="14" l="1"/>
  <c r="J97" i="14" s="1"/>
  <c r="H97" i="14"/>
  <c r="I99" i="20"/>
  <c r="J99" i="20" s="1"/>
  <c r="H99" i="20"/>
  <c r="I96" i="12"/>
  <c r="J96" i="12" s="1"/>
  <c r="H96" i="12"/>
  <c r="I97" i="16"/>
  <c r="J97" i="16" s="1"/>
  <c r="H97" i="16"/>
  <c r="I96" i="13"/>
  <c r="J96" i="13" s="1"/>
  <c r="H96" i="13"/>
  <c r="I96" i="19"/>
  <c r="J96" i="19" s="1"/>
  <c r="H96" i="19"/>
  <c r="I97" i="17"/>
  <c r="J97" i="17" s="1"/>
  <c r="H97" i="17"/>
  <c r="I97" i="15"/>
  <c r="J97" i="15" s="1"/>
  <c r="H97" i="15"/>
  <c r="I99" i="18"/>
  <c r="J99" i="18" s="1"/>
  <c r="H99" i="18"/>
  <c r="A109" i="19"/>
  <c r="I98" i="16" l="1"/>
  <c r="J98" i="16" s="1"/>
  <c r="H98" i="16"/>
  <c r="I97" i="12"/>
  <c r="J97" i="12" s="1"/>
  <c r="H97" i="12"/>
  <c r="I97" i="19"/>
  <c r="J97" i="19" s="1"/>
  <c r="H97" i="19"/>
  <c r="I98" i="17"/>
  <c r="J98" i="17" s="1"/>
  <c r="H98" i="17"/>
  <c r="I100" i="20"/>
  <c r="J100" i="20" s="1"/>
  <c r="H100" i="20"/>
  <c r="I100" i="18"/>
  <c r="J100" i="18" s="1"/>
  <c r="H100" i="18"/>
  <c r="I97" i="13"/>
  <c r="J97" i="13" s="1"/>
  <c r="H97" i="13"/>
  <c r="I98" i="14"/>
  <c r="J98" i="14" s="1"/>
  <c r="H98" i="14"/>
  <c r="I98" i="15"/>
  <c r="J98" i="15" s="1"/>
  <c r="H98" i="15"/>
  <c r="I101" i="18" l="1"/>
  <c r="J101" i="18" s="1"/>
  <c r="H101" i="18"/>
  <c r="I98" i="12"/>
  <c r="J98" i="12" s="1"/>
  <c r="H98" i="12"/>
  <c r="I98" i="19"/>
  <c r="J98" i="19" s="1"/>
  <c r="H98" i="19"/>
  <c r="I99" i="15"/>
  <c r="J99" i="15" s="1"/>
  <c r="H99" i="15"/>
  <c r="I101" i="20"/>
  <c r="J101" i="20" s="1"/>
  <c r="H101" i="20"/>
  <c r="I99" i="16"/>
  <c r="J99" i="16" s="1"/>
  <c r="H99" i="16"/>
  <c r="I98" i="13"/>
  <c r="J98" i="13" s="1"/>
  <c r="H98" i="13"/>
  <c r="I99" i="14"/>
  <c r="J99" i="14" s="1"/>
  <c r="H99" i="14"/>
  <c r="I99" i="17"/>
  <c r="J99" i="17" s="1"/>
  <c r="H99" i="17"/>
  <c r="I100" i="14" l="1"/>
  <c r="J100" i="14" s="1"/>
  <c r="H100" i="14"/>
  <c r="I100" i="15"/>
  <c r="J100" i="15" s="1"/>
  <c r="H100" i="15"/>
  <c r="I99" i="13"/>
  <c r="J99" i="13" s="1"/>
  <c r="H99" i="13"/>
  <c r="I99" i="19"/>
  <c r="J99" i="19" s="1"/>
  <c r="H99" i="19"/>
  <c r="I100" i="16"/>
  <c r="J100" i="16" s="1"/>
  <c r="H100" i="16"/>
  <c r="I99" i="12"/>
  <c r="J99" i="12" s="1"/>
  <c r="H99" i="12"/>
  <c r="I100" i="17"/>
  <c r="J100" i="17" s="1"/>
  <c r="H100" i="17"/>
  <c r="I102" i="20"/>
  <c r="J102" i="20" s="1"/>
  <c r="H102" i="20"/>
  <c r="I102" i="18"/>
  <c r="J102" i="18" s="1"/>
  <c r="H102" i="18"/>
  <c r="I103" i="20" l="1"/>
  <c r="J103" i="20" s="1"/>
  <c r="H103" i="20"/>
  <c r="I100" i="19"/>
  <c r="J100" i="19" s="1"/>
  <c r="H100" i="19"/>
  <c r="I101" i="17"/>
  <c r="J101" i="17" s="1"/>
  <c r="H101" i="17"/>
  <c r="I100" i="13"/>
  <c r="J100" i="13" s="1"/>
  <c r="H100" i="13"/>
  <c r="I100" i="12"/>
  <c r="J100" i="12" s="1"/>
  <c r="H100" i="12"/>
  <c r="I101" i="15"/>
  <c r="J101" i="15" s="1"/>
  <c r="H101" i="15"/>
  <c r="I103" i="18"/>
  <c r="J103" i="18" s="1"/>
  <c r="H103" i="18"/>
  <c r="I101" i="16"/>
  <c r="J101" i="16" s="1"/>
  <c r="H101" i="16"/>
  <c r="I101" i="14"/>
  <c r="J101" i="14" s="1"/>
  <c r="H101" i="14"/>
  <c r="I102" i="16" l="1"/>
  <c r="J102" i="16" s="1"/>
  <c r="H102" i="16"/>
  <c r="I101" i="13"/>
  <c r="J101" i="13" s="1"/>
  <c r="H101" i="13"/>
  <c r="I104" i="18"/>
  <c r="J104" i="18" s="1"/>
  <c r="H104" i="18"/>
  <c r="I102" i="17"/>
  <c r="J102" i="17" s="1"/>
  <c r="H102" i="17"/>
  <c r="I102" i="15"/>
  <c r="J102" i="15" s="1"/>
  <c r="H102" i="15"/>
  <c r="I101" i="19"/>
  <c r="J101" i="19" s="1"/>
  <c r="H101" i="19"/>
  <c r="I102" i="14"/>
  <c r="J102" i="14" s="1"/>
  <c r="H102" i="14"/>
  <c r="H101" i="12"/>
  <c r="I101" i="12"/>
  <c r="J101" i="12" s="1"/>
  <c r="I104" i="20"/>
  <c r="J104" i="20" s="1"/>
  <c r="H104" i="20"/>
  <c r="I103" i="17" l="1"/>
  <c r="J103" i="17" s="1"/>
  <c r="H103" i="17"/>
  <c r="I102" i="12"/>
  <c r="J102" i="12" s="1"/>
  <c r="H102" i="12"/>
  <c r="I103" i="14"/>
  <c r="J103" i="14" s="1"/>
  <c r="H103" i="14"/>
  <c r="I105" i="18"/>
  <c r="J105" i="18" s="1"/>
  <c r="H105" i="18"/>
  <c r="I102" i="19"/>
  <c r="J102" i="19" s="1"/>
  <c r="H102" i="19"/>
  <c r="I102" i="13"/>
  <c r="J102" i="13" s="1"/>
  <c r="H102" i="13"/>
  <c r="I105" i="20"/>
  <c r="J105" i="20" s="1"/>
  <c r="H105" i="20"/>
  <c r="I103" i="15"/>
  <c r="J103" i="15" s="1"/>
  <c r="H103" i="15"/>
  <c r="I103" i="16"/>
  <c r="J103" i="16" s="1"/>
  <c r="H103" i="16"/>
  <c r="I104" i="15" l="1"/>
  <c r="J104" i="15" s="1"/>
  <c r="H104" i="15"/>
  <c r="I106" i="18"/>
  <c r="J106" i="18" s="1"/>
  <c r="H106" i="18"/>
  <c r="I106" i="20"/>
  <c r="J106" i="20" s="1"/>
  <c r="H106" i="20"/>
  <c r="I104" i="14"/>
  <c r="J104" i="14" s="1"/>
  <c r="H104" i="14"/>
  <c r="I103" i="13"/>
  <c r="J103" i="13" s="1"/>
  <c r="H103" i="13"/>
  <c r="I103" i="12"/>
  <c r="J103" i="12" s="1"/>
  <c r="H103" i="12"/>
  <c r="I104" i="16"/>
  <c r="J104" i="16" s="1"/>
  <c r="H104" i="16"/>
  <c r="I103" i="19"/>
  <c r="J103" i="19" s="1"/>
  <c r="H103" i="19"/>
  <c r="I104" i="17"/>
  <c r="J104" i="17" s="1"/>
  <c r="H104" i="17"/>
  <c r="I104" i="19" l="1"/>
  <c r="J104" i="19" s="1"/>
  <c r="H104" i="19"/>
  <c r="I105" i="14"/>
  <c r="J105" i="14" s="1"/>
  <c r="H105" i="14"/>
  <c r="I105" i="16"/>
  <c r="J105" i="16" s="1"/>
  <c r="H105" i="16"/>
  <c r="I107" i="20"/>
  <c r="J107" i="20" s="1"/>
  <c r="H107" i="20"/>
  <c r="I104" i="12"/>
  <c r="J104" i="12" s="1"/>
  <c r="H104" i="12"/>
  <c r="I107" i="18"/>
  <c r="J107" i="18" s="1"/>
  <c r="H107" i="18"/>
  <c r="I105" i="17"/>
  <c r="J105" i="17" s="1"/>
  <c r="H105" i="17"/>
  <c r="I104" i="13"/>
  <c r="J104" i="13" s="1"/>
  <c r="H104" i="13"/>
  <c r="I105" i="15"/>
  <c r="J105" i="15" s="1"/>
  <c r="H105" i="15"/>
  <c r="I105" i="13" l="1"/>
  <c r="J105" i="13" s="1"/>
  <c r="H105" i="13"/>
  <c r="I108" i="20"/>
  <c r="J108" i="20" s="1"/>
  <c r="H108" i="20"/>
  <c r="I106" i="16"/>
  <c r="J106" i="16" s="1"/>
  <c r="H106" i="16"/>
  <c r="I108" i="18"/>
  <c r="J108" i="18" s="1"/>
  <c r="H108" i="18"/>
  <c r="I106" i="14"/>
  <c r="J106" i="14" s="1"/>
  <c r="H106" i="14"/>
  <c r="I106" i="17"/>
  <c r="J106" i="17" s="1"/>
  <c r="H106" i="17"/>
  <c r="I106" i="15"/>
  <c r="J106" i="15" s="1"/>
  <c r="H106" i="15"/>
  <c r="I105" i="12"/>
  <c r="J105" i="12" s="1"/>
  <c r="H105" i="12"/>
  <c r="I105" i="19"/>
  <c r="J105" i="19" s="1"/>
  <c r="H105" i="19"/>
  <c r="I106" i="12" l="1"/>
  <c r="J106" i="12" s="1"/>
  <c r="H106" i="12"/>
  <c r="I109" i="18"/>
  <c r="J109" i="18" s="1"/>
  <c r="H109" i="18"/>
  <c r="I107" i="15"/>
  <c r="J107" i="15" s="1"/>
  <c r="H107" i="15"/>
  <c r="I107" i="16"/>
  <c r="J107" i="16" s="1"/>
  <c r="H107" i="16"/>
  <c r="I107" i="17"/>
  <c r="J107" i="17" s="1"/>
  <c r="H107" i="17"/>
  <c r="I109" i="20"/>
  <c r="J109" i="20" s="1"/>
  <c r="H109" i="20"/>
  <c r="I106" i="19"/>
  <c r="J106" i="19" s="1"/>
  <c r="H106" i="19"/>
  <c r="I107" i="14"/>
  <c r="J107" i="14" s="1"/>
  <c r="H107" i="14"/>
  <c r="I106" i="13"/>
  <c r="J106" i="13" s="1"/>
  <c r="H106" i="13"/>
  <c r="I108" i="15" l="1"/>
  <c r="J108" i="15" s="1"/>
  <c r="H108" i="15"/>
  <c r="I108" i="14"/>
  <c r="J108" i="14" s="1"/>
  <c r="H108" i="14"/>
  <c r="I108" i="16"/>
  <c r="J108" i="16" s="1"/>
  <c r="H108" i="16"/>
  <c r="I107" i="19"/>
  <c r="J107" i="19" s="1"/>
  <c r="H107" i="19"/>
  <c r="I107" i="13"/>
  <c r="J107" i="13" s="1"/>
  <c r="H107" i="13"/>
  <c r="I108" i="17"/>
  <c r="J108" i="17" s="1"/>
  <c r="H108" i="17"/>
  <c r="I107" i="12"/>
  <c r="J107" i="12" s="1"/>
  <c r="H107" i="12"/>
  <c r="I109" i="16" l="1"/>
  <c r="J109" i="16" s="1"/>
  <c r="H109" i="16"/>
  <c r="I109" i="17"/>
  <c r="J109" i="17" s="1"/>
  <c r="H109" i="17"/>
  <c r="I109" i="14"/>
  <c r="J109" i="14" s="1"/>
  <c r="H109" i="14"/>
  <c r="I108" i="19"/>
  <c r="J108" i="19" s="1"/>
  <c r="H108" i="19"/>
  <c r="I108" i="13"/>
  <c r="J108" i="13" s="1"/>
  <c r="H108" i="13"/>
  <c r="I109" i="15"/>
  <c r="J109" i="15" s="1"/>
  <c r="H109" i="15"/>
  <c r="I108" i="12"/>
  <c r="J108" i="12" s="1"/>
  <c r="H108" i="12"/>
  <c r="H109" i="12" l="1"/>
  <c r="I109" i="12"/>
  <c r="J109" i="12" s="1"/>
  <c r="I109" i="19"/>
  <c r="J109" i="19" s="1"/>
  <c r="H109" i="19"/>
  <c r="I109" i="13"/>
  <c r="J109" i="13" s="1"/>
  <c r="H109" i="13"/>
</calcChain>
</file>

<file path=xl/comments1.xml><?xml version="1.0" encoding="utf-8"?>
<comments xmlns="http://schemas.openxmlformats.org/spreadsheetml/2006/main">
  <authors>
    <author>AEA Technology</author>
  </authors>
  <commentList>
    <comment ref="L13" authorId="0" shapeId="0">
      <text>
        <r>
          <rPr>
            <sz val="8"/>
            <color indexed="81"/>
            <rFont val="Tahoma"/>
            <family val="2"/>
            <charset val="238"/>
          </rPr>
          <t>This may include garden waste provided that a suitable value of DOC is used</t>
        </r>
      </text>
    </comment>
    <comment ref="L14" authorId="0" shapeId="0">
      <text>
        <r>
          <rPr>
            <sz val="8"/>
            <color indexed="81"/>
            <rFont val="Tahoma"/>
            <family val="2"/>
            <charset val="238"/>
          </rPr>
          <t>Garden and park waste and other moderately fast degrading waste</t>
        </r>
      </text>
    </comment>
    <comment ref="L17" authorId="0" shapeId="0">
      <text>
        <r>
          <rPr>
            <sz val="8"/>
            <color indexed="81"/>
            <rFont val="Tahoma"/>
            <family val="2"/>
            <charset val="238"/>
          </rPr>
          <t>Natural textiles such as wool and cotton. The default DOC value assumes 40% of textiles are synthetic materials that do not contain DOC.</t>
        </r>
      </text>
    </comment>
    <comment ref="L21" authorId="0" shapeId="0">
      <text>
        <r>
          <rPr>
            <sz val="8"/>
            <color indexed="81"/>
            <rFont val="Tahoma"/>
            <family val="2"/>
            <charset val="238"/>
          </rPr>
          <t>The composition of industrial waste will vary significantly by country. This DOC value should match the amounts entered (see guidelines).</t>
        </r>
      </text>
    </comment>
    <comment ref="L27" authorId="0" shapeId="0">
      <text>
        <r>
          <rPr>
            <sz val="8"/>
            <color indexed="81"/>
            <rFont val="Tahoma"/>
            <family val="2"/>
            <charset val="238"/>
          </rPr>
          <t>This may include garden waste provided that a suitable value of DOC is used</t>
        </r>
      </text>
    </comment>
    <comment ref="L28" authorId="0" shapeId="0">
      <text>
        <r>
          <rPr>
            <sz val="8"/>
            <color indexed="81"/>
            <rFont val="Tahoma"/>
            <family val="2"/>
            <charset val="238"/>
          </rPr>
          <t>Garden and park waste and other moderately fast degrading waste</t>
        </r>
      </text>
    </comment>
    <comment ref="L31" authorId="0" shapeId="0">
      <text>
        <r>
          <rPr>
            <sz val="8"/>
            <color indexed="81"/>
            <rFont val="Tahoma"/>
            <family val="2"/>
            <charset val="238"/>
          </rPr>
          <t>Natural textiles such as wool and cotton. Synthetic textiles are assumed not to contain DOC</t>
        </r>
      </text>
    </comment>
    <comment ref="L35" authorId="0" shapeId="0">
      <text>
        <r>
          <rPr>
            <sz val="8"/>
            <color indexed="81"/>
            <rFont val="Tahoma"/>
            <family val="2"/>
            <charset val="238"/>
          </rPr>
          <t>The composition of industrial waste will vary significantly by country. This DOC value should match the amounts entered (see guidelines).</t>
        </r>
      </text>
    </comment>
    <comment ref="B37" authorId="0" shapeId="0">
      <text>
        <r>
          <rPr>
            <sz val="8"/>
            <color indexed="81"/>
            <rFont val="Tahoma"/>
            <family val="2"/>
          </rPr>
          <t>This is the average time before anaerobic decay begins - usually assumed to be a few months</t>
        </r>
      </text>
    </comment>
  </commentList>
</comments>
</file>

<file path=xl/comments10.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1.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2.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3.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4.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5.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6.xml><?xml version="1.0" encoding="utf-8"?>
<comments xmlns="http://schemas.openxmlformats.org/spreadsheetml/2006/main">
  <authors>
    <author>Per Svardal</author>
    <author>AEA Technology</author>
  </authors>
  <commentLis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7.xml><?xml version="1.0" encoding="utf-8"?>
<comments xmlns="http://schemas.openxmlformats.org/spreadsheetml/2006/main">
  <authors>
    <author>Per Svardal</author>
    <author>AEA Technology</author>
  </authors>
  <commentList>
    <comment ref="H7" authorId="0" shapeId="0">
      <text>
        <r>
          <rPr>
            <sz val="8"/>
            <color indexed="81"/>
            <rFont val="Tahoma"/>
            <family val="2"/>
          </rPr>
          <t>Transferred from parameter sheet</t>
        </r>
      </text>
    </comment>
    <comment ref="H8" authorId="0" shapeId="0">
      <text>
        <r>
          <rPr>
            <sz val="8"/>
            <color indexed="81"/>
            <rFont val="Tahoma"/>
            <family val="2"/>
            <charset val="238"/>
          </rPr>
          <t>Transferred from parameter sheet</t>
        </r>
      </text>
    </comment>
    <comment ref="H10" authorId="0" shapeId="0">
      <text>
        <r>
          <rPr>
            <sz val="8"/>
            <color indexed="81"/>
            <rFont val="Tahoma"/>
            <family val="2"/>
            <charset val="238"/>
          </rPr>
          <t xml:space="preserve">Calculates e^-k for use in columns H and I
</t>
        </r>
      </text>
    </comment>
    <comment ref="H11" authorId="0" shapeId="0">
      <text>
        <r>
          <rPr>
            <sz val="8"/>
            <color indexed="81"/>
            <rFont val="Tahoma"/>
            <family val="2"/>
          </rPr>
          <t>Zero delay is equivalent to average decomposition start at beginning of month 7 (half way through the first year of deposition)</t>
        </r>
      </text>
    </comment>
    <comment ref="H12" authorId="0" shapeId="0">
      <text>
        <r>
          <rPr>
            <sz val="8"/>
            <color indexed="81"/>
            <rFont val="Tahoma"/>
            <family val="2"/>
            <charset val="238"/>
          </rPr>
          <t xml:space="preserve">Calculates e^-k*((13-M)/12) for use in columns F and G.
</t>
        </r>
      </text>
    </comment>
    <comment ref="B15" authorId="0" shapeId="0">
      <text>
        <r>
          <rPr>
            <sz val="8"/>
            <color indexed="81"/>
            <rFont val="Tahoma"/>
            <family val="2"/>
            <charset val="238"/>
          </rPr>
          <t>Transferred from activity sheet</t>
        </r>
      </text>
    </comment>
    <comment ref="C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18.xml><?xml version="1.0" encoding="utf-8"?>
<comments xmlns="http://schemas.openxmlformats.org/spreadsheetml/2006/main">
  <authors>
    <author>Per Svardal</author>
    <author>AEA Technology</author>
  </authors>
  <commentList>
    <comment ref="I6" authorId="0" shapeId="0">
      <text>
        <r>
          <rPr>
            <sz val="8"/>
            <color indexed="81"/>
            <rFont val="Tahoma"/>
            <family val="2"/>
          </rPr>
          <t>Transferred from parameter sheet</t>
        </r>
      </text>
    </comment>
    <comment ref="I7" authorId="0" shapeId="0">
      <text>
        <r>
          <rPr>
            <sz val="8"/>
            <color indexed="81"/>
            <rFont val="Tahoma"/>
            <family val="2"/>
          </rPr>
          <t>Transferred from parameter sheet</t>
        </r>
      </text>
    </comment>
    <comment ref="I8" authorId="0" shapeId="0">
      <text>
        <r>
          <rPr>
            <sz val="8"/>
            <color indexed="81"/>
            <rFont val="Tahoma"/>
            <family val="2"/>
            <charset val="238"/>
          </rPr>
          <t>Transferred from parameter sheet</t>
        </r>
      </text>
    </comment>
    <comment ref="I10" authorId="0" shapeId="0">
      <text>
        <r>
          <rPr>
            <sz val="8"/>
            <color indexed="81"/>
            <rFont val="Tahoma"/>
            <family val="2"/>
            <charset val="238"/>
          </rPr>
          <t xml:space="preserve">Calculates e^-k for use in columns H and I
</t>
        </r>
      </text>
    </comment>
    <comment ref="I11" authorId="0" shapeId="0">
      <text>
        <r>
          <rPr>
            <sz val="8"/>
            <color indexed="81"/>
            <rFont val="Tahoma"/>
            <family val="2"/>
          </rPr>
          <t>Zero delay is equivalent to average decomposition start at beginning of month 7 (half way through the first year of deposition)</t>
        </r>
      </text>
    </comment>
    <comment ref="I12" authorId="0" shapeId="0">
      <text>
        <r>
          <rPr>
            <sz val="8"/>
            <color indexed="81"/>
            <rFont val="Tahoma"/>
            <family val="2"/>
            <charset val="238"/>
          </rPr>
          <t xml:space="preserve">Calculates e^-k*((13-M)/12) for use in columns F and G.
</t>
        </r>
      </text>
    </comment>
    <comment ref="C15" authorId="0" shapeId="0">
      <text>
        <r>
          <rPr>
            <sz val="8"/>
            <color indexed="81"/>
            <rFont val="Tahoma"/>
            <family val="2"/>
            <charset val="238"/>
          </rPr>
          <t>Transferred from activity sheet</t>
        </r>
      </text>
    </comment>
    <comment ref="D15" authorId="1" shapeId="0">
      <text>
        <r>
          <rPr>
            <sz val="8"/>
            <color indexed="81"/>
            <rFont val="Tahoma"/>
            <family val="2"/>
          </rPr>
          <t>Methane correction factor from MCF sheet</t>
        </r>
        <r>
          <rPr>
            <sz val="8"/>
            <color indexed="81"/>
            <rFont val="Tahoma"/>
            <family val="2"/>
            <charset val="238"/>
          </rPr>
          <t xml:space="preserve">
</t>
        </r>
      </text>
    </comment>
    <comment ref="E15" authorId="0" shapeId="0">
      <text>
        <r>
          <rPr>
            <sz val="8"/>
            <color indexed="81"/>
            <rFont val="Tahoma"/>
            <family val="2"/>
            <charset val="238"/>
          </rPr>
          <t>Calculates the mass of DOC in the deposited material which will actually degrade in the SWDS. Equation 4 on the Theory sheet.</t>
        </r>
      </text>
    </comment>
    <comment ref="F15" authorId="0" shapeId="0">
      <text>
        <r>
          <rPr>
            <sz val="8"/>
            <color indexed="81"/>
            <rFont val="Tahoma"/>
            <family val="2"/>
            <charset val="238"/>
          </rPr>
          <t>Calculates the mass of DDOC from material deposited in each year which is left in the SWDS at the end of the year. Equation 5 on the Theory sheet.</t>
        </r>
      </text>
    </comment>
    <comment ref="G15" authorId="0" shapeId="0">
      <text>
        <r>
          <rPr>
            <sz val="8"/>
            <color indexed="81"/>
            <rFont val="Tahoma"/>
            <family val="2"/>
            <charset val="238"/>
          </rPr>
          <t xml:space="preserve">Calculates the amount of DDOCm from material deposited each year, which is decomposed to methane and carbon dioxide in the deposition year. Equation 6 on the Theory sheet.
</t>
        </r>
      </text>
    </comment>
    <comment ref="H15" authorId="0" shapeId="0">
      <text>
        <r>
          <rPr>
            <sz val="8"/>
            <color indexed="81"/>
            <rFont val="Tahoma"/>
            <family val="2"/>
          </rPr>
          <t>Calculates the total amount of DDOCm left not decomposed in the SWDS at the end of the year. Equation 7 on the Theory sheet.</t>
        </r>
      </text>
    </comment>
    <comment ref="I15" authorId="0" shapeId="0">
      <text>
        <r>
          <rPr>
            <sz val="8"/>
            <color indexed="81"/>
            <rFont val="Tahoma"/>
            <family val="2"/>
            <charset val="238"/>
          </rPr>
          <t>Calculates the total mass of DDOC dedomposed to methane and carbon dioxide each year. Equation 8 on the Theory sheet.</t>
        </r>
      </text>
    </comment>
    <comment ref="J15" authorId="0" shapeId="0">
      <text>
        <r>
          <rPr>
            <sz val="8"/>
            <color indexed="81"/>
            <rFont val="Tahoma"/>
            <family val="2"/>
          </rPr>
          <t>Calculates the mass of methane formed from DDOCm decomposed. Equation 9 on the Theory sheet.</t>
        </r>
      </text>
    </comment>
  </commentList>
</comments>
</file>

<file path=xl/comments2.xml><?xml version="1.0" encoding="utf-8"?>
<comments xmlns="http://schemas.openxmlformats.org/spreadsheetml/2006/main">
  <authors>
    <author>Jeff Coburn</author>
  </authors>
  <commentList>
    <comment ref="C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D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E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G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text>
    </comment>
    <comment ref="I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J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K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 ref="M16" authorId="0" shapeId="0">
      <text>
        <r>
          <rPr>
            <b/>
            <sz val="8"/>
            <color indexed="81"/>
            <rFont val="Tahoma"/>
            <family val="2"/>
            <charset val="238"/>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charset val="238"/>
          </rPr>
          <t xml:space="preserve">
</t>
        </r>
      </text>
    </comment>
  </commentList>
</comments>
</file>

<file path=xl/comments3.xml><?xml version="1.0" encoding="utf-8"?>
<comments xmlns="http://schemas.openxmlformats.org/spreadsheetml/2006/main">
  <authors>
    <author>AEA Technology</author>
  </authors>
  <commentList>
    <comment ref="G9" authorId="0" shapeId="0">
      <text>
        <r>
          <rPr>
            <sz val="8"/>
            <color indexed="81"/>
            <rFont val="Tahoma"/>
            <family val="2"/>
            <charset val="238"/>
          </rPr>
          <t>This should be the composition of the waste entering the disposal sites, after any removal of material for recycling etc.
Other categories, e.g. street sweepings, should be re-categorised into the columns below (see guidance).</t>
        </r>
      </text>
    </comment>
    <comment ref="C10" authorId="0" shapeId="0">
      <text>
        <r>
          <rPr>
            <sz val="8"/>
            <color indexed="81"/>
            <rFont val="Tahoma"/>
            <family val="2"/>
            <charset val="238"/>
          </rPr>
          <t xml:space="preserve">Enter the population for which waste collection is organised (could be urban population)
</t>
        </r>
      </text>
    </comment>
    <comment ref="F10" authorId="0" shapeId="0">
      <text>
        <r>
          <rPr>
            <sz val="8"/>
            <color indexed="81"/>
            <rFont val="Tahoma"/>
            <family val="2"/>
            <charset val="238"/>
          </rPr>
          <t>Enter the percentage of waste generated which goes to solid waste disposal sites</t>
        </r>
      </text>
    </comment>
    <comment ref="M10" authorId="0" shapeId="0">
      <text>
        <r>
          <rPr>
            <b/>
            <sz val="8"/>
            <color indexed="81"/>
            <rFont val="Tahoma"/>
            <family val="2"/>
            <charset val="238"/>
          </rPr>
          <t>Inert waste, i.e. not containing degradable organic carbon, e.g. glass, metal etc. (DOC=0)</t>
        </r>
        <r>
          <rPr>
            <sz val="8"/>
            <color indexed="81"/>
            <rFont val="Tahoma"/>
            <family val="2"/>
            <charset val="238"/>
          </rPr>
          <t xml:space="preserve">
</t>
        </r>
      </text>
    </comment>
    <comment ref="U10" authorId="0" shapeId="0">
      <text>
        <r>
          <rPr>
            <sz val="8"/>
            <color indexed="81"/>
            <rFont val="Tahoma"/>
            <family val="2"/>
            <charset val="238"/>
          </rPr>
          <t>Enter the percentage of waste generated which goes to solid waste disposal sites</t>
        </r>
      </text>
    </comment>
    <comment ref="E11" authorId="0" shapeId="0">
      <text>
        <r>
          <rPr>
            <b/>
            <sz val="8"/>
            <color indexed="81"/>
            <rFont val="Tahoma"/>
            <family val="2"/>
            <charset val="238"/>
          </rPr>
          <t>1 gigagram (Gg) is 1000 tonnes</t>
        </r>
        <r>
          <rPr>
            <sz val="8"/>
            <color indexed="81"/>
            <rFont val="Tahoma"/>
            <family val="2"/>
            <charset val="238"/>
          </rPr>
          <t xml:space="preserve">
</t>
        </r>
      </text>
    </comment>
    <comment ref="T11" authorId="0"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4.xml><?xml version="1.0" encoding="utf-8"?>
<comments xmlns="http://schemas.openxmlformats.org/spreadsheetml/2006/main">
  <authors>
    <author>AEA Technology</author>
  </authors>
  <commentList>
    <comment ref="K9" authorId="0" shapeId="0">
      <text>
        <r>
          <rPr>
            <b/>
            <sz val="8"/>
            <color indexed="81"/>
            <rFont val="Tahoma"/>
            <family val="2"/>
            <charset val="238"/>
          </rPr>
          <t xml:space="preserve">Inert waste are wastes that do not contain degradable organic carbon (i.e., DOC=0).   E.g., plastic, glass, metal etc. </t>
        </r>
        <r>
          <rPr>
            <sz val="8"/>
            <color indexed="81"/>
            <rFont val="Tahoma"/>
            <family val="2"/>
            <charset val="238"/>
          </rPr>
          <t xml:space="preserve">
</t>
        </r>
      </text>
    </comment>
    <comment ref="C10" authorId="0"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5.xml><?xml version="1.0" encoding="utf-8"?>
<comments xmlns="http://schemas.openxmlformats.org/spreadsheetml/2006/main">
  <authors>
    <author>AEA Technology</author>
  </authors>
  <commentList>
    <comment ref="C11" authorId="0"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6.xml><?xml version="1.0" encoding="utf-8"?>
<comments xmlns="http://schemas.openxmlformats.org/spreadsheetml/2006/main">
  <authors>
    <author>Per Svardal</author>
    <author>AEA Technology</author>
  </authors>
  <commentList>
    <comment ref="O11" authorId="0" shapeId="0">
      <text>
        <r>
          <rPr>
            <sz val="8"/>
            <color indexed="81"/>
            <rFont val="Tahoma"/>
            <family val="2"/>
            <charset val="238"/>
          </rPr>
          <t>Final summation. Adds the methane produced from the different materials and subtracts the methane recovery. Finally it subtracts the methane oxidation in the top layer. Equation 10 on the Theory sheet.</t>
        </r>
      </text>
    </comment>
    <comment ref="C13" authorId="1"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7.xml><?xml version="1.0" encoding="utf-8"?>
<comments xmlns="http://schemas.openxmlformats.org/spreadsheetml/2006/main">
  <authors>
    <author>AEA Technology</author>
  </authors>
  <commentList>
    <comment ref="C10" authorId="0"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8.xml><?xml version="1.0" encoding="utf-8"?>
<comments xmlns="http://schemas.openxmlformats.org/spreadsheetml/2006/main">
  <authors>
    <author>AEA Technology</author>
  </authors>
  <commentList>
    <comment ref="C14" authorId="0" shapeId="0">
      <text>
        <r>
          <rPr>
            <b/>
            <sz val="8"/>
            <color indexed="81"/>
            <rFont val="Tahoma"/>
            <family val="2"/>
            <charset val="238"/>
          </rPr>
          <t>1 gigagram (Gg) is 1000 tonnes</t>
        </r>
        <r>
          <rPr>
            <sz val="8"/>
            <color indexed="81"/>
            <rFont val="Tahoma"/>
            <family val="2"/>
            <charset val="238"/>
          </rPr>
          <t xml:space="preserve">
</t>
        </r>
      </text>
    </comment>
  </commentList>
</comments>
</file>

<file path=xl/comments9.xml><?xml version="1.0" encoding="utf-8"?>
<comments xmlns="http://schemas.openxmlformats.org/spreadsheetml/2006/main">
  <authors>
    <author>Jeff Coburn</author>
    <author>AEA Technology</author>
  </authors>
  <commentList>
    <comment ref="AE7" authorId="0" shapeId="0">
      <text>
        <r>
          <rPr>
            <sz val="8"/>
            <color indexed="81"/>
            <rFont val="Tahoma"/>
            <family val="2"/>
            <charset val="238"/>
          </rPr>
          <t>Includes plastic, metal, glass, ash, and other inert material (i.e., material with DOC=0).</t>
        </r>
      </text>
    </comment>
    <comment ref="AF11" authorId="0" shapeId="0">
      <text>
        <r>
          <rPr>
            <sz val="8"/>
            <color indexed="81"/>
            <rFont val="Tahoma"/>
            <family val="2"/>
            <charset val="238"/>
          </rPr>
          <t xml:space="preserve">No data; defulat is average of all available regional data.
</t>
        </r>
      </text>
    </comment>
    <comment ref="AG11" authorId="0" shapeId="0">
      <text>
        <r>
          <rPr>
            <sz val="8"/>
            <color indexed="81"/>
            <rFont val="Tahoma"/>
            <family val="2"/>
            <charset val="238"/>
          </rPr>
          <t xml:space="preserve">No data; defulat is average of all available regional data.
</t>
        </r>
      </text>
    </comment>
    <comment ref="G16" authorId="1" shapeId="0">
      <text>
        <r>
          <rPr>
            <b/>
            <sz val="8"/>
            <color indexed="81"/>
            <rFont val="Tahoma"/>
            <family val="2"/>
            <charset val="238"/>
          </rPr>
          <t>This cell records which climate zone is selected in the drop-down box on the parameter sheet.</t>
        </r>
      </text>
    </comment>
    <comment ref="O19" authorId="0" shapeId="0">
      <text>
        <r>
          <rPr>
            <b/>
            <sz val="8"/>
            <color indexed="81"/>
            <rFont val="Tahoma"/>
            <family val="2"/>
            <charset val="238"/>
          </rPr>
          <t>Cell records waste type DOC selection from parameters worksheet.</t>
        </r>
        <r>
          <rPr>
            <sz val="8"/>
            <color indexed="81"/>
            <rFont val="Tahoma"/>
            <family val="2"/>
            <charset val="238"/>
          </rPr>
          <t xml:space="preserve">
</t>
        </r>
      </text>
    </comment>
  </commentList>
</comments>
</file>

<file path=xl/sharedStrings.xml><?xml version="1.0" encoding="utf-8"?>
<sst xmlns="http://schemas.openxmlformats.org/spreadsheetml/2006/main" count="834" uniqueCount="292">
  <si>
    <t>2006 IPCC Guidelines for National Greenhouse Gas Inventories</t>
  </si>
  <si>
    <t>This spreadsheet implements the Tier 1 method for estimating emissions of methane from solid waste disposal sites. For details of the method see the 2006 IPCC Guidelines for National Greenhouse Gas Inventories Volume 5 Chapter 3</t>
  </si>
  <si>
    <r>
      <t>©</t>
    </r>
    <r>
      <rPr>
        <sz val="11"/>
        <color theme="1"/>
        <rFont val="Calibri"/>
        <family val="2"/>
        <charset val="238"/>
        <scheme val="minor"/>
      </rPr>
      <t>IPCC 2006</t>
    </r>
  </si>
  <si>
    <t>Parameters</t>
  </si>
  <si>
    <t>Country</t>
  </si>
  <si>
    <t>Czech Republic</t>
  </si>
  <si>
    <t>Region</t>
  </si>
  <si>
    <t>Please enter parameters in the yellow cells.  If no national data are available, copy the IPCC default value.</t>
  </si>
  <si>
    <t>Help on parameter selection can be found in the 2006 IPCC guidelines</t>
  </si>
  <si>
    <t>IPCC default value</t>
  </si>
  <si>
    <t>Country-specific parameters</t>
  </si>
  <si>
    <t>Value</t>
  </si>
  <si>
    <t>Reference and remarks</t>
  </si>
  <si>
    <t>Notes</t>
  </si>
  <si>
    <t>Starting year</t>
  </si>
  <si>
    <t>Specified Inputs:  expanded for spreadsheet calculations</t>
  </si>
  <si>
    <t>DOC (Degradable organic carbon)</t>
  </si>
  <si>
    <t xml:space="preserve">  (weight fraction, wet basis)</t>
  </si>
  <si>
    <t>Range</t>
  </si>
  <si>
    <t>Default</t>
  </si>
  <si>
    <t>Selected DOC inputs</t>
  </si>
  <si>
    <t>Food waste</t>
  </si>
  <si>
    <t>Garden</t>
  </si>
  <si>
    <t>Paper</t>
  </si>
  <si>
    <t>Wood and straw</t>
  </si>
  <si>
    <t>Textiles</t>
  </si>
  <si>
    <t>Disposable nappies</t>
  </si>
  <si>
    <t>Sewage sludge</t>
  </si>
  <si>
    <t/>
  </si>
  <si>
    <t>Bulk MSW</t>
  </si>
  <si>
    <t>Industrial waste</t>
  </si>
  <si>
    <t>DOCf (fraction of DOC dissimilated)</t>
  </si>
  <si>
    <r>
      <t xml:space="preserve">Methane generation rate constant </t>
    </r>
    <r>
      <rPr>
        <sz val="10"/>
        <rFont val="Arial"/>
        <family val="2"/>
      </rPr>
      <t>(k)</t>
    </r>
  </si>
  <si>
    <r>
      <t>(years</t>
    </r>
    <r>
      <rPr>
        <b/>
        <vertAlign val="superscript"/>
        <sz val="10"/>
        <rFont val="Arial"/>
        <family val="2"/>
      </rPr>
      <t>-1</t>
    </r>
    <r>
      <rPr>
        <b/>
        <sz val="10"/>
        <rFont val="Arial"/>
        <family val="2"/>
      </rPr>
      <t>)</t>
    </r>
  </si>
  <si>
    <t>Selected half-life inputs</t>
  </si>
  <si>
    <t>Delay time (months)</t>
  </si>
  <si>
    <r>
      <t xml:space="preserve">Fraction of methane </t>
    </r>
    <r>
      <rPr>
        <sz val="11"/>
        <color theme="1"/>
        <rFont val="Calibri"/>
        <family val="2"/>
        <charset val="238"/>
        <scheme val="minor"/>
      </rPr>
      <t>(F) in developed gas</t>
    </r>
  </si>
  <si>
    <r>
      <t>Conversion factor</t>
    </r>
    <r>
      <rPr>
        <sz val="11"/>
        <color theme="1"/>
        <rFont val="Calibri"/>
        <family val="2"/>
        <charset val="238"/>
        <scheme val="minor"/>
      </rPr>
      <t>, C to CH</t>
    </r>
    <r>
      <rPr>
        <vertAlign val="subscript"/>
        <sz val="10"/>
        <rFont val="Arial"/>
        <family val="2"/>
      </rPr>
      <t>4</t>
    </r>
  </si>
  <si>
    <r>
      <t xml:space="preserve">Oxidation factor </t>
    </r>
    <r>
      <rPr>
        <sz val="11"/>
        <color theme="1"/>
        <rFont val="Calibri"/>
        <family val="2"/>
        <charset val="238"/>
        <scheme val="minor"/>
      </rPr>
      <t>(OX)</t>
    </r>
  </si>
  <si>
    <t>Parameters for carbon storage</t>
  </si>
  <si>
    <t>% paper in industrial waste</t>
  </si>
  <si>
    <t>% wood in industrial waste</t>
  </si>
  <si>
    <t>For Harwested Wood Products calculations for Bulk waste option only:</t>
  </si>
  <si>
    <t>Methane Correction Factor (MCF)</t>
  </si>
  <si>
    <t>Calculated values for MCF</t>
  </si>
  <si>
    <t>This worksheet calculates a weighted average MCF from the estimated distribution of site types</t>
  </si>
  <si>
    <t>Enter either IPCC default values or national values into the yellow MCF cells in row 12</t>
  </si>
  <si>
    <t>Then enter the approximate distribution of waste disposals (by mass) between site types in the columns below.</t>
  </si>
  <si>
    <t>Totals on each row must add up to 100% (see "distribution check" values)</t>
  </si>
  <si>
    <t>MSW</t>
  </si>
  <si>
    <t>Industrial</t>
  </si>
  <si>
    <t>Un-managed, shallow</t>
  </si>
  <si>
    <t>Un-managed, deep</t>
  </si>
  <si>
    <t>Managed</t>
  </si>
  <si>
    <t>Managed, semi-aerobic</t>
  </si>
  <si>
    <t>Uncate-gorised</t>
  </si>
  <si>
    <t>Distri-bution Check</t>
  </si>
  <si>
    <t>References / remarks</t>
  </si>
  <si>
    <t>Weighted average MCF for MSW</t>
  </si>
  <si>
    <t>Weighted average MCF for Industrial Waste</t>
  </si>
  <si>
    <t>MCF</t>
  </si>
  <si>
    <t>IPCC default</t>
  </si>
  <si>
    <t>Country-specific value</t>
  </si>
  <si>
    <t>Distribution of Waste by Waste Management Type</t>
  </si>
  <si>
    <t>"Fixed" Country-specifc value</t>
  </si>
  <si>
    <t>Total (100%)</t>
  </si>
  <si>
    <t>Year</t>
  </si>
  <si>
    <t>%</t>
  </si>
  <si>
    <t>wt. fraction</t>
  </si>
  <si>
    <t xml:space="preserve">MSW activity data </t>
  </si>
  <si>
    <t xml:space="preserve">Industrial waste activity data </t>
  </si>
  <si>
    <t xml:space="preserve">Enter population, waste per capita and MSW waste composition into the yellow cells.  </t>
  </si>
  <si>
    <t xml:space="preserve">Enter GDP, waste generation rate, % to SWDS and distribution of waste between site types into the yellow cells.  </t>
  </si>
  <si>
    <t>Help and default regional values are given in the 2006 IPCC Guidelines.</t>
  </si>
  <si>
    <t>Industrial waste activity data must be entered separately starting in Column Q.</t>
  </si>
  <si>
    <t>IPCC Regional defaults</t>
  </si>
  <si>
    <t>Composition of waste going to solid waste disposal sites</t>
  </si>
  <si>
    <t>Population</t>
  </si>
  <si>
    <t>Waste per capita</t>
  </si>
  <si>
    <t>Total MSW</t>
  </si>
  <si>
    <t>% to SWDS</t>
  </si>
  <si>
    <t>Food</t>
  </si>
  <si>
    <t>Wood</t>
  </si>
  <si>
    <t>Textile</t>
  </si>
  <si>
    <t>Nappies</t>
  </si>
  <si>
    <t>Plastics, other inert</t>
  </si>
  <si>
    <t>Total</t>
  </si>
  <si>
    <t>GDP</t>
  </si>
  <si>
    <t>Waste generation rate</t>
  </si>
  <si>
    <t>Total industrial waste</t>
  </si>
  <si>
    <t>Total to SWDS</t>
  </si>
  <si>
    <t>millions</t>
  </si>
  <si>
    <t>kg/cap/yr</t>
  </si>
  <si>
    <t>Gg</t>
  </si>
  <si>
    <t>(=100%)</t>
  </si>
  <si>
    <t>$ millions</t>
  </si>
  <si>
    <t>Gg/$m GDP/yr</t>
  </si>
  <si>
    <t xml:space="preserve">Amount deposited data </t>
  </si>
  <si>
    <t>Countries with good inventory data:</t>
  </si>
  <si>
    <t>Enter those data onto this sheet.</t>
  </si>
  <si>
    <t>Amounts deposited in SWDS</t>
  </si>
  <si>
    <t>Sludge</t>
  </si>
  <si>
    <t>Deposited MSW</t>
  </si>
  <si>
    <t>Inert</t>
  </si>
  <si>
    <t>Methane Recovery and methane oxidised in top layer (OX)</t>
  </si>
  <si>
    <t xml:space="preserve">Enter the total amount of methane recovered </t>
  </si>
  <si>
    <t xml:space="preserve">from all SWDS. </t>
  </si>
  <si>
    <t>Amount of Methane Recovered from SWDS</t>
  </si>
  <si>
    <t>Fraction recovered methane</t>
  </si>
  <si>
    <t>Methane oxidised (OX)</t>
  </si>
  <si>
    <t>References/remarks</t>
  </si>
  <si>
    <t>Fraction</t>
  </si>
  <si>
    <t>Results</t>
  </si>
  <si>
    <t xml:space="preserve">Enter starting year, industrial waste disposal data and methane recovery into the yellow cells. </t>
  </si>
  <si>
    <t>MSW activity data is entered on MSW sheet</t>
  </si>
  <si>
    <t>Methane generated</t>
  </si>
  <si>
    <t>Methane recovery</t>
  </si>
  <si>
    <t>Methane emission</t>
  </si>
  <si>
    <t xml:space="preserve">A </t>
  </si>
  <si>
    <t>B</t>
  </si>
  <si>
    <t>C</t>
  </si>
  <si>
    <t>D</t>
  </si>
  <si>
    <t>E</t>
  </si>
  <si>
    <t>F</t>
  </si>
  <si>
    <t>G</t>
  </si>
  <si>
    <t>H</t>
  </si>
  <si>
    <t>J</t>
  </si>
  <si>
    <t>K</t>
  </si>
  <si>
    <t>L</t>
  </si>
  <si>
    <t>M = (K-L)*(1-OX)</t>
  </si>
  <si>
    <t>Harwested Wood Products</t>
  </si>
  <si>
    <t>This sheet gives information on the methane emission from HWP, and HWP C long-term stored in SWDS</t>
  </si>
  <si>
    <t>Long-term stored C</t>
  </si>
  <si>
    <t>Long term stored C accumulated</t>
  </si>
  <si>
    <t>CH4 generated</t>
  </si>
  <si>
    <t>CH4 emitted</t>
  </si>
  <si>
    <t>Garden C</t>
  </si>
  <si>
    <t>Paper C</t>
  </si>
  <si>
    <t>Wood C</t>
  </si>
  <si>
    <t>Long-term stored C in SWDS</t>
  </si>
  <si>
    <t>In this sheet carbon long-term stored C in SWDS is calculated.</t>
  </si>
  <si>
    <t>DOC:</t>
  </si>
  <si>
    <t>Industry</t>
  </si>
  <si>
    <t>C, Industry</t>
  </si>
  <si>
    <t>Paper, industry subtotal</t>
  </si>
  <si>
    <t>Wood, industry subtotal</t>
  </si>
  <si>
    <t>Long-term stored C accumulated</t>
  </si>
  <si>
    <t>IPCC Spreadsheet for Estimating Methane emissions from Solid Waste Disposal Sites</t>
  </si>
  <si>
    <t>Bulk waste and waste composition options.</t>
  </si>
  <si>
    <r>
      <t>IPCC</t>
    </r>
    <r>
      <rPr>
        <b/>
        <sz val="10"/>
        <rFont val="Arial"/>
        <family val="2"/>
      </rPr>
      <t xml:space="preserve"> DEFAULT METHANE GENERATION RATE CONSTANTS (1/yr)</t>
    </r>
  </si>
  <si>
    <r>
      <t>IPCC</t>
    </r>
    <r>
      <rPr>
        <b/>
        <sz val="10"/>
        <rFont val="Arial"/>
        <family val="2"/>
      </rPr>
      <t xml:space="preserve"> DEFAULT DOC VALUES</t>
    </r>
  </si>
  <si>
    <r>
      <t>IPCC</t>
    </r>
    <r>
      <rPr>
        <b/>
        <sz val="10"/>
        <rFont val="Arial"/>
        <family val="2"/>
      </rPr>
      <t xml:space="preserve"> REGIONAL DEFAULT VALUES FOR WASTE COMPOSITION, WASTE GENERATION, AND FRACTION DISPOSED</t>
    </r>
  </si>
  <si>
    <t xml:space="preserve">(Derived from k values obtained in experimental measurements, calculated by models, or used in GHG inventories and other studies) </t>
  </si>
  <si>
    <t>Default DOC</t>
  </si>
  <si>
    <t>Temperate</t>
  </si>
  <si>
    <t>Tropical</t>
  </si>
  <si>
    <t>Select3</t>
  </si>
  <si>
    <t>MSW Generation Rate (tonnes/cap/yr)</t>
  </si>
  <si>
    <t>Fraction MSW disposed to SWDS</t>
  </si>
  <si>
    <t>Regional Average DOC (wt fraction)</t>
  </si>
  <si>
    <t>Dry</t>
  </si>
  <si>
    <t>Wet</t>
  </si>
  <si>
    <t>Moist and Wet</t>
  </si>
  <si>
    <t>Percent Waste Composition Data</t>
  </si>
  <si>
    <t>Type of Waste</t>
  </si>
  <si>
    <t>Default Value</t>
  </si>
  <si>
    <t>Paper/ card board</t>
  </si>
  <si>
    <t>Garden / park</t>
  </si>
  <si>
    <t>Nappies / Diapers</t>
  </si>
  <si>
    <t>Rubber / leather</t>
  </si>
  <si>
    <t>All other, inerts</t>
  </si>
  <si>
    <t>Slowly degrading waste</t>
  </si>
  <si>
    <t>Paper/textile waste</t>
  </si>
  <si>
    <t>0.03–0.05</t>
  </si>
  <si>
    <t>0.05–0.07</t>
  </si>
  <si>
    <t>0.04–0.06</t>
  </si>
  <si>
    <t>0.06–0.085</t>
  </si>
  <si>
    <t>0.08-0.20</t>
  </si>
  <si>
    <t>Asia: Eastern</t>
  </si>
  <si>
    <t>Wood/ straw/ rubber waste</t>
  </si>
  <si>
    <t>0.01–0.03</t>
  </si>
  <si>
    <t>0.02–0.04</t>
  </si>
  <si>
    <t>0.18-0.22</t>
  </si>
  <si>
    <t>Asia: South-central</t>
  </si>
  <si>
    <t>Moderately degrading waste</t>
  </si>
  <si>
    <t>Garden and park waste</t>
  </si>
  <si>
    <t>0.06–0.1</t>
  </si>
  <si>
    <t>0.05–0.08</t>
  </si>
  <si>
    <t>0.15–0.2</t>
  </si>
  <si>
    <t>0.36-0.45</t>
  </si>
  <si>
    <t>Asia- Southeast</t>
  </si>
  <si>
    <t>Rapidly degrading waste</t>
  </si>
  <si>
    <t>Food waste/ sewage sludge</t>
  </si>
  <si>
    <t>0.1–0.2</t>
  </si>
  <si>
    <t>0.07–0.1</t>
  </si>
  <si>
    <t xml:space="preserve">0.17–0.7 </t>
  </si>
  <si>
    <t>0.39-0.46</t>
  </si>
  <si>
    <t>Asia- Western &amp; Middle East</t>
  </si>
  <si>
    <t>Bulk MSW or Industrial Waste</t>
  </si>
  <si>
    <t>Mixed composition</t>
  </si>
  <si>
    <t>0.08–0.1</t>
  </si>
  <si>
    <t>0.20-0.40</t>
  </si>
  <si>
    <t>Africa: Eastern</t>
  </si>
  <si>
    <t>0.18-0.32</t>
  </si>
  <si>
    <t>Africa: Middle</t>
  </si>
  <si>
    <t>IPCC Climate Zone Definitions</t>
  </si>
  <si>
    <t>0.04-0.05</t>
  </si>
  <si>
    <t>Africa: Northern</t>
  </si>
  <si>
    <t>Rubber</t>
  </si>
  <si>
    <t>0.39</t>
  </si>
  <si>
    <t>Africa: Southern</t>
  </si>
  <si>
    <t>MAT</t>
  </si>
  <si>
    <t>MAP</t>
  </si>
  <si>
    <t>MAP/PET</t>
  </si>
  <si>
    <t>Selected:</t>
  </si>
  <si>
    <t>Bulk MSW waste</t>
  </si>
  <si>
    <t>0.12-0.28</t>
  </si>
  <si>
    <t>Africa: Western</t>
  </si>
  <si>
    <t>Dry temperate</t>
  </si>
  <si>
    <t>0 - 20°C</t>
  </si>
  <si>
    <t>&lt;1</t>
  </si>
  <si>
    <t>0-0.54</t>
  </si>
  <si>
    <t>Europe: Eastern</t>
  </si>
  <si>
    <t>Wet temperate</t>
  </si>
  <si>
    <t>&gt;1</t>
  </si>
  <si>
    <t>Europe: Northern</t>
  </si>
  <si>
    <t>Dry tropical</t>
  </si>
  <si>
    <t>&gt; 20°C</t>
  </si>
  <si>
    <t>&lt;1000 mm</t>
  </si>
  <si>
    <t>Select2:</t>
  </si>
  <si>
    <t>Waste by composition</t>
  </si>
  <si>
    <t>Europe: Southern</t>
  </si>
  <si>
    <t>Moist and wet tropical</t>
  </si>
  <si>
    <t>&gt;1000 mm</t>
  </si>
  <si>
    <t>Bulk waste data only</t>
  </si>
  <si>
    <t>Europe: Western</t>
  </si>
  <si>
    <t>Oceania: Austrailia &amp; New Zealand</t>
  </si>
  <si>
    <t>Oceania: Other Oceania</t>
  </si>
  <si>
    <t xml:space="preserve">MAT – Mean annual temperature; </t>
  </si>
  <si>
    <t>America: North</t>
  </si>
  <si>
    <t xml:space="preserve">MAP – Mean annual precipitation; </t>
  </si>
  <si>
    <t>America: Central</t>
  </si>
  <si>
    <t xml:space="preserve">PET  – Potential evapotranspiration. </t>
  </si>
  <si>
    <t>America: South</t>
  </si>
  <si>
    <t>The average annual MAT, MAP and PET during the time series selected to estimate the emission and indicated by the nearest representative meteorological station. The information available is not adequate to subdivide temperate into cold (&lt;10°C) and warm (10-20°C). In this IPCC classification for warm temperate, MAT is referred to the growing season.</t>
  </si>
  <si>
    <t>Caribbean</t>
  </si>
  <si>
    <t>Relationship between half-life and decay rate</t>
  </si>
  <si>
    <t>Averages</t>
  </si>
  <si>
    <t>Half-life = ln(2)/k where k is the decay rate constant.</t>
  </si>
  <si>
    <t>Conversion boxes for comparison</t>
  </si>
  <si>
    <t>Half-life (years)</t>
  </si>
  <si>
    <r>
      <t>Decay rate constant (y</t>
    </r>
    <r>
      <rPr>
        <b/>
        <vertAlign val="superscript"/>
        <sz val="10"/>
        <rFont val="Arial"/>
        <family val="2"/>
      </rPr>
      <t>-1</t>
    </r>
    <r>
      <rPr>
        <b/>
        <sz val="10"/>
        <rFont val="Arial"/>
        <family val="2"/>
      </rPr>
      <t>)</t>
    </r>
  </si>
  <si>
    <r>
      <t>Decay rate constant  (y</t>
    </r>
    <r>
      <rPr>
        <b/>
        <vertAlign val="superscript"/>
        <sz val="10"/>
        <rFont val="Arial"/>
        <family val="2"/>
      </rPr>
      <t>-1</t>
    </r>
    <r>
      <rPr>
        <b/>
        <sz val="10"/>
        <rFont val="Arial"/>
        <family val="2"/>
      </rPr>
      <t>)</t>
    </r>
  </si>
  <si>
    <t>Half life (years)</t>
  </si>
  <si>
    <t>Methane calculation from:  Food waste</t>
  </si>
  <si>
    <t>National values</t>
  </si>
  <si>
    <t>DOC</t>
  </si>
  <si>
    <t>DOCf</t>
  </si>
  <si>
    <t>Methane generation rate constant</t>
  </si>
  <si>
    <t>k</t>
  </si>
  <si>
    <r>
      <t>Half-life time (t</t>
    </r>
    <r>
      <rPr>
        <vertAlign val="subscript"/>
        <sz val="10"/>
        <rFont val="Arial"/>
        <family val="2"/>
      </rPr>
      <t>1/2</t>
    </r>
    <r>
      <rPr>
        <sz val="10"/>
        <rFont val="Arial"/>
        <family val="2"/>
      </rPr>
      <t>, years</t>
    </r>
    <r>
      <rPr>
        <sz val="11"/>
        <color theme="1"/>
        <rFont val="Calibri"/>
        <family val="2"/>
        <charset val="238"/>
        <scheme val="minor"/>
      </rPr>
      <t>):</t>
    </r>
  </si>
  <si>
    <t>h = ln(2)/k</t>
  </si>
  <si>
    <t>exp1</t>
  </si>
  <si>
    <t xml:space="preserve"> exp(-k)</t>
  </si>
  <si>
    <t>Process start in deposition year. Month M</t>
  </si>
  <si>
    <t>M</t>
  </si>
  <si>
    <t>exp2</t>
  </si>
  <si>
    <t>exp(-k*((13-M)/12))</t>
  </si>
  <si>
    <t>Fraction to CH4</t>
  </si>
  <si>
    <t>Amount deposited</t>
  </si>
  <si>
    <t>Decomposable DOC (DDOCm) deposited</t>
  </si>
  <si>
    <t>DDOCm not reacted. Deposition year</t>
  </si>
  <si>
    <t>DDOCm decomposed. Deposition year</t>
  </si>
  <si>
    <t>DDOCm accumulated in SWDS end of year</t>
  </si>
  <si>
    <t>DDOCm decomposed</t>
  </si>
  <si>
    <r>
      <t>CH</t>
    </r>
    <r>
      <rPr>
        <vertAlign val="subscript"/>
        <sz val="10"/>
        <color indexed="8"/>
        <rFont val="Arial"/>
        <family val="2"/>
      </rPr>
      <t>4</t>
    </r>
    <r>
      <rPr>
        <sz val="10"/>
        <color indexed="8"/>
        <rFont val="Arial"/>
        <family val="2"/>
      </rPr>
      <t xml:space="preserve"> generated</t>
    </r>
    <r>
      <rPr>
        <sz val="11"/>
        <color theme="1"/>
        <rFont val="Calibri"/>
        <family val="2"/>
        <charset val="238"/>
        <scheme val="minor"/>
      </rPr>
      <t xml:space="preserve"> </t>
    </r>
  </si>
  <si>
    <t xml:space="preserve">W </t>
  </si>
  <si>
    <t>D = W * DOC * DOCf * MCF</t>
  </si>
  <si>
    <t>B = D * exp2</t>
  </si>
  <si>
    <t>C = D * (1- exp2)</t>
  </si>
  <si>
    <r>
      <t>H = B + (H</t>
    </r>
    <r>
      <rPr>
        <vertAlign val="subscript"/>
        <sz val="8"/>
        <rFont val="Arial"/>
        <family val="2"/>
      </rPr>
      <t>last year</t>
    </r>
    <r>
      <rPr>
        <sz val="8"/>
        <rFont val="Arial"/>
        <family val="2"/>
      </rPr>
      <t xml:space="preserve"> * exp1)</t>
    </r>
  </si>
  <si>
    <r>
      <t>E = C + H</t>
    </r>
    <r>
      <rPr>
        <vertAlign val="subscript"/>
        <sz val="8"/>
        <rFont val="Arial"/>
        <family val="2"/>
      </rPr>
      <t>last year</t>
    </r>
    <r>
      <rPr>
        <sz val="8"/>
        <rFont val="Arial"/>
        <family val="2"/>
      </rPr>
      <t xml:space="preserve"> * (1 - exp1)</t>
    </r>
  </si>
  <si>
    <t>Q = E * 16/12 * F</t>
  </si>
  <si>
    <t>fraction</t>
  </si>
  <si>
    <t>Methane calculation from:  Garden / park waste</t>
  </si>
  <si>
    <t>Methane calculation from:  Paper / card board</t>
  </si>
  <si>
    <t>Methane calculation from:  Wood</t>
  </si>
  <si>
    <t>Methane calculation from:  Textiles</t>
  </si>
  <si>
    <t>Methane calculation from:  Nappies</t>
  </si>
  <si>
    <t>Methane calculation from:  Sewage sludge</t>
  </si>
  <si>
    <t>Methane calculation from:  MSW</t>
  </si>
  <si>
    <t>Methane calculation from:  Industrial Waste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</si>
</sst>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
    <numFmt numFmtId="167" formatCode="#,##0.000"/>
    <numFmt numFmtId="168" formatCode="#,##0.0"/>
  </numFmts>
  <fonts count="26" x14ac:knownFonts="1">
    <font>
      <sz val="11"/>
      <color theme="1"/>
      <name val="Calibri"/>
      <family val="2"/>
      <charset val="238"/>
      <scheme val="minor"/>
    </font>
    <font>
      <sz val="11"/>
      <color theme="1"/>
      <name val="Calibri"/>
      <family val="2"/>
      <charset val="238"/>
      <scheme val="minor"/>
    </font>
    <font>
      <b/>
      <sz val="14"/>
      <name val="Arial"/>
      <family val="2"/>
    </font>
    <font>
      <b/>
      <sz val="10"/>
      <name val="Arial"/>
      <family val="2"/>
    </font>
    <font>
      <sz val="9"/>
      <name val="Arial"/>
      <family val="2"/>
    </font>
    <font>
      <sz val="10"/>
      <name val="Arial"/>
      <family val="2"/>
      <charset val="238"/>
    </font>
    <font>
      <b/>
      <sz val="12"/>
      <name val="Arial"/>
      <family val="2"/>
    </font>
    <font>
      <sz val="10"/>
      <name val="Arial"/>
      <family val="2"/>
    </font>
    <font>
      <sz val="8"/>
      <name val="Arial"/>
      <family val="2"/>
      <charset val="238"/>
    </font>
    <font>
      <b/>
      <vertAlign val="superscript"/>
      <sz val="10"/>
      <name val="Arial"/>
      <family val="2"/>
    </font>
    <font>
      <vertAlign val="subscript"/>
      <sz val="10"/>
      <name val="Arial"/>
      <family val="2"/>
    </font>
    <font>
      <b/>
      <sz val="10"/>
      <color indexed="10"/>
      <name val="Arial"/>
      <family val="2"/>
    </font>
    <font>
      <sz val="10"/>
      <color indexed="10"/>
      <name val="Arial"/>
      <family val="2"/>
    </font>
    <font>
      <sz val="8"/>
      <color indexed="81"/>
      <name val="Tahoma"/>
      <family val="2"/>
      <charset val="238"/>
    </font>
    <font>
      <sz val="8"/>
      <color indexed="81"/>
      <name val="Tahoma"/>
      <family val="2"/>
    </font>
    <font>
      <b/>
      <sz val="8"/>
      <color indexed="81"/>
      <name val="Tahoma"/>
      <family val="2"/>
      <charset val="238"/>
    </font>
    <font>
      <sz val="10"/>
      <color indexed="10"/>
      <name val="Arial"/>
      <family val="2"/>
      <charset val="238"/>
    </font>
    <font>
      <sz val="8"/>
      <name val="Arial"/>
      <family val="2"/>
    </font>
    <font>
      <b/>
      <sz val="12"/>
      <name val="Arial"/>
      <family val="2"/>
      <charset val="238"/>
    </font>
    <font>
      <b/>
      <sz val="11"/>
      <name val="Arial"/>
      <family val="2"/>
    </font>
    <font>
      <b/>
      <u/>
      <sz val="10"/>
      <name val="Arial"/>
      <family val="2"/>
    </font>
    <font>
      <b/>
      <u/>
      <sz val="12"/>
      <name val="Arial"/>
      <family val="2"/>
    </font>
    <font>
      <sz val="12"/>
      <name val="Arial"/>
      <family val="2"/>
    </font>
    <font>
      <sz val="10"/>
      <color indexed="8"/>
      <name val="Arial"/>
      <family val="2"/>
    </font>
    <font>
      <vertAlign val="subscript"/>
      <sz val="10"/>
      <color indexed="8"/>
      <name val="Arial"/>
      <family val="2"/>
    </font>
    <font>
      <vertAlign val="subscript"/>
      <sz val="8"/>
      <name val="Arial"/>
      <family val="2"/>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45"/>
        <bgColor indexed="64"/>
      </patternFill>
    </fill>
  </fills>
  <borders count="7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s>
  <cellStyleXfs count="2">
    <xf numFmtId="0" fontId="0" fillId="0" borderId="0"/>
    <xf numFmtId="9" fontId="1" fillId="0" borderId="0" applyFont="0" applyFill="0" applyBorder="0" applyAlignment="0" applyProtection="0"/>
  </cellStyleXfs>
  <cellXfs count="757">
    <xf numFmtId="0" fontId="0" fillId="0" borderId="0" xfId="0"/>
    <xf numFmtId="0" fontId="2" fillId="2" borderId="0" xfId="0" applyFont="1" applyFill="1" applyAlignment="1"/>
    <xf numFmtId="0" fontId="0" fillId="2" borderId="0" xfId="0" applyFill="1"/>
    <xf numFmtId="0" fontId="3" fillId="2" borderId="0" xfId="0" applyFont="1" applyFill="1"/>
    <xf numFmtId="0" fontId="4" fillId="2" borderId="0" xfId="0" applyFont="1" applyFill="1" applyAlignment="1">
      <alignment vertical="top" wrapText="1"/>
    </xf>
    <xf numFmtId="0" fontId="5" fillId="2" borderId="0" xfId="0" applyFont="1" applyFill="1"/>
    <xf numFmtId="0" fontId="6" fillId="0" borderId="0" xfId="0" applyFont="1" applyAlignment="1">
      <alignment wrapText="1"/>
    </xf>
    <xf numFmtId="0" fontId="3" fillId="0" borderId="0" xfId="0" applyFont="1"/>
    <xf numFmtId="0" fontId="7" fillId="0" borderId="0" xfId="0" applyFont="1" applyFill="1" applyAlignment="1"/>
    <xf numFmtId="0" fontId="7" fillId="0" borderId="0" xfId="0" applyFont="1" applyAlignment="1"/>
    <xf numFmtId="0" fontId="3" fillId="0" borderId="0" xfId="0" applyFont="1" applyAlignment="1">
      <alignment wrapText="1"/>
    </xf>
    <xf numFmtId="0" fontId="0" fillId="2" borderId="8" xfId="0" applyFill="1" applyBorder="1"/>
    <xf numFmtId="0" fontId="0" fillId="2" borderId="9" xfId="0" applyFill="1" applyBorder="1"/>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1" xfId="0" applyFont="1" applyFill="1" applyBorder="1" applyAlignment="1">
      <alignment horizontal="left"/>
    </xf>
    <xf numFmtId="0" fontId="3" fillId="2" borderId="12" xfId="0" applyFont="1" applyFill="1" applyBorder="1"/>
    <xf numFmtId="0" fontId="0" fillId="4" borderId="1" xfId="0" applyFill="1" applyBorder="1"/>
    <xf numFmtId="0" fontId="0" fillId="4" borderId="3" xfId="0" applyFill="1" applyBorder="1"/>
    <xf numFmtId="0" fontId="7" fillId="3" borderId="13" xfId="0" applyFont="1" applyFill="1" applyBorder="1"/>
    <xf numFmtId="0" fontId="3" fillId="3" borderId="14" xfId="0" applyFont="1" applyFill="1" applyBorder="1"/>
    <xf numFmtId="0" fontId="0" fillId="0" borderId="15" xfId="0" applyBorder="1"/>
    <xf numFmtId="0" fontId="0" fillId="0" borderId="16"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0" borderId="17" xfId="0" applyBorder="1"/>
    <xf numFmtId="0" fontId="3" fillId="2" borderId="19" xfId="0" applyFont="1" applyFill="1" applyBorder="1" applyProtection="1">
      <protection locked="0"/>
    </xf>
    <xf numFmtId="0" fontId="3" fillId="2" borderId="14" xfId="0" applyFont="1" applyFill="1" applyBorder="1" applyProtection="1">
      <protection locked="0"/>
    </xf>
    <xf numFmtId="0" fontId="3" fillId="2" borderId="13" xfId="0" applyFont="1" applyFill="1" applyBorder="1" applyProtection="1">
      <protection locked="0"/>
    </xf>
    <xf numFmtId="0" fontId="0" fillId="2" borderId="14" xfId="0" applyFill="1" applyBorder="1"/>
    <xf numFmtId="0" fontId="3" fillId="2" borderId="19" xfId="0" applyFont="1" applyFill="1" applyBorder="1" applyAlignment="1" applyProtection="1">
      <alignment horizontal="center"/>
    </xf>
    <xf numFmtId="0" fontId="3" fillId="2" borderId="14" xfId="0" applyFont="1" applyFill="1" applyBorder="1" applyAlignment="1" applyProtection="1">
      <alignment horizontal="center"/>
    </xf>
    <xf numFmtId="0" fontId="3" fillId="2" borderId="20" xfId="0" applyFont="1" applyFill="1" applyBorder="1" applyProtection="1"/>
    <xf numFmtId="0" fontId="0" fillId="2" borderId="21" xfId="0" applyFill="1" applyBorder="1"/>
    <xf numFmtId="0" fontId="0" fillId="0" borderId="22" xfId="0" applyBorder="1"/>
    <xf numFmtId="0" fontId="0" fillId="4" borderId="23" xfId="0" applyFill="1" applyBorder="1" applyAlignment="1">
      <alignment horizontal="right"/>
    </xf>
    <xf numFmtId="0" fontId="0" fillId="4" borderId="24" xfId="0" applyFill="1" applyBorder="1"/>
    <xf numFmtId="0" fontId="0" fillId="3" borderId="25" xfId="0" applyFill="1" applyBorder="1" applyProtection="1">
      <protection locked="0"/>
    </xf>
    <xf numFmtId="0" fontId="0" fillId="3" borderId="26" xfId="0" applyFill="1" applyBorder="1" applyProtection="1">
      <protection locked="0"/>
    </xf>
    <xf numFmtId="0" fontId="8" fillId="0" borderId="0" xfId="0" applyFont="1" applyBorder="1"/>
    <xf numFmtId="0" fontId="0" fillId="0" borderId="26" xfId="0" applyBorder="1"/>
    <xf numFmtId="0" fontId="0" fillId="3" borderId="27" xfId="0" applyFill="1" applyBorder="1" applyProtection="1">
      <protection locked="0"/>
    </xf>
    <xf numFmtId="0" fontId="0" fillId="3" borderId="28" xfId="0" applyFill="1" applyBorder="1" applyProtection="1">
      <protection locked="0"/>
    </xf>
    <xf numFmtId="0" fontId="0" fillId="0" borderId="28" xfId="0" applyBorder="1"/>
    <xf numFmtId="0" fontId="0" fillId="0" borderId="0" xfId="0" applyBorder="1"/>
    <xf numFmtId="0" fontId="0" fillId="4" borderId="29" xfId="0" applyFill="1" applyBorder="1" applyAlignment="1">
      <alignment horizontal="right"/>
    </xf>
    <xf numFmtId="0" fontId="0" fillId="4" borderId="30" xfId="0" applyFill="1" applyBorder="1"/>
    <xf numFmtId="0" fontId="0" fillId="0" borderId="31" xfId="0" applyBorder="1"/>
    <xf numFmtId="0" fontId="0" fillId="4" borderId="10" xfId="0" applyFill="1" applyBorder="1" applyAlignment="1">
      <alignment horizontal="right"/>
    </xf>
    <xf numFmtId="0" fontId="0" fillId="4" borderId="11" xfId="0" applyFill="1" applyBorder="1"/>
    <xf numFmtId="0" fontId="0" fillId="4" borderId="11" xfId="0" quotePrefix="1" applyFill="1" applyBorder="1"/>
    <xf numFmtId="0" fontId="0" fillId="0" borderId="32" xfId="0" applyBorder="1"/>
    <xf numFmtId="0" fontId="0" fillId="4" borderId="33" xfId="0" applyFill="1" applyBorder="1" applyAlignment="1">
      <alignment horizontal="right"/>
    </xf>
    <xf numFmtId="0" fontId="0" fillId="4" borderId="34" xfId="0" applyFill="1" applyBorder="1"/>
    <xf numFmtId="0" fontId="0" fillId="3" borderId="35" xfId="0" applyFill="1" applyBorder="1" applyProtection="1">
      <protection locked="0"/>
    </xf>
    <xf numFmtId="0" fontId="0" fillId="3" borderId="32" xfId="0" applyFill="1" applyBorder="1" applyProtection="1">
      <protection locked="0"/>
    </xf>
    <xf numFmtId="0" fontId="8" fillId="0" borderId="0" xfId="0" applyFont="1" applyBorder="1" applyAlignment="1"/>
    <xf numFmtId="0" fontId="0" fillId="0" borderId="16" xfId="0" applyBorder="1"/>
    <xf numFmtId="0" fontId="0" fillId="5" borderId="19" xfId="0" applyFill="1" applyBorder="1"/>
    <xf numFmtId="0" fontId="7" fillId="4" borderId="14" xfId="0" applyFont="1" applyFill="1" applyBorder="1"/>
    <xf numFmtId="0" fontId="0" fillId="3" borderId="2" xfId="0" applyFill="1" applyBorder="1" applyProtection="1">
      <protection locked="0"/>
    </xf>
    <xf numFmtId="0" fontId="0" fillId="3" borderId="12" xfId="0" applyFill="1" applyBorder="1" applyProtection="1">
      <protection locked="0"/>
    </xf>
    <xf numFmtId="0" fontId="0" fillId="0" borderId="0" xfId="0" applyBorder="1" applyProtection="1">
      <protection locked="0"/>
    </xf>
    <xf numFmtId="0" fontId="0" fillId="2" borderId="2" xfId="0" applyFill="1" applyBorder="1" applyProtection="1">
      <protection locked="0"/>
    </xf>
    <xf numFmtId="0" fontId="0" fillId="2" borderId="12" xfId="0" applyFill="1" applyBorder="1"/>
    <xf numFmtId="0" fontId="3" fillId="2" borderId="12" xfId="0" applyFont="1" applyFill="1" applyBorder="1" applyAlignment="1">
      <alignment horizontal="center"/>
    </xf>
    <xf numFmtId="0" fontId="3" fillId="2" borderId="36" xfId="0" applyFont="1" applyFill="1" applyBorder="1" applyAlignment="1" applyProtection="1">
      <alignment horizontal="center"/>
    </xf>
    <xf numFmtId="0" fontId="3" fillId="2" borderId="21" xfId="0" applyFont="1" applyFill="1" applyBorder="1" applyAlignment="1" applyProtection="1">
      <alignment horizontal="center"/>
    </xf>
    <xf numFmtId="0" fontId="0" fillId="2" borderId="37" xfId="0" applyFill="1" applyBorder="1" applyProtection="1"/>
    <xf numFmtId="0" fontId="0" fillId="2" borderId="38" xfId="0" applyFill="1" applyBorder="1"/>
    <xf numFmtId="0" fontId="0" fillId="4" borderId="6" xfId="0" applyFill="1" applyBorder="1" applyAlignment="1">
      <alignment horizontal="right"/>
    </xf>
    <xf numFmtId="0" fontId="7" fillId="4" borderId="7" xfId="0" applyFont="1" applyFill="1" applyBorder="1"/>
    <xf numFmtId="0" fontId="0" fillId="3" borderId="39" xfId="0" applyFill="1" applyBorder="1" applyProtection="1">
      <protection locked="0"/>
    </xf>
    <xf numFmtId="0" fontId="7" fillId="4" borderId="24" xfId="0" applyFont="1" applyFill="1" applyBorder="1"/>
    <xf numFmtId="0" fontId="0" fillId="3" borderId="40" xfId="0" applyFill="1" applyBorder="1" applyProtection="1">
      <protection locked="0"/>
    </xf>
    <xf numFmtId="0" fontId="0" fillId="3" borderId="22" xfId="0" applyFill="1" applyBorder="1" applyProtection="1">
      <protection locked="0"/>
    </xf>
    <xf numFmtId="0" fontId="0" fillId="3" borderId="41" xfId="0" applyFill="1" applyBorder="1" applyProtection="1">
      <protection locked="0"/>
    </xf>
    <xf numFmtId="0" fontId="7" fillId="4" borderId="24" xfId="0" quotePrefix="1" applyFont="1" applyFill="1" applyBorder="1"/>
    <xf numFmtId="0" fontId="7" fillId="4" borderId="34" xfId="0" applyFont="1" applyFill="1" applyBorder="1"/>
    <xf numFmtId="0" fontId="0" fillId="3" borderId="42" xfId="0" applyFill="1" applyBorder="1" applyProtection="1">
      <protection locked="0"/>
    </xf>
    <xf numFmtId="0" fontId="0" fillId="0" borderId="18" xfId="0" applyBorder="1"/>
    <xf numFmtId="0" fontId="0" fillId="2" borderId="19" xfId="0" applyFill="1" applyBorder="1"/>
    <xf numFmtId="0" fontId="0" fillId="3" borderId="13" xfId="0" applyFill="1" applyBorder="1" applyProtection="1">
      <protection locked="0"/>
    </xf>
    <xf numFmtId="0" fontId="0" fillId="3" borderId="14" xfId="0" applyFill="1" applyBorder="1" applyProtection="1">
      <protection locked="0"/>
    </xf>
    <xf numFmtId="0" fontId="0" fillId="6" borderId="18" xfId="0" applyFill="1" applyBorder="1"/>
    <xf numFmtId="0" fontId="0" fillId="4" borderId="14" xfId="0" applyFill="1" applyBorder="1"/>
    <xf numFmtId="2" fontId="0" fillId="0" borderId="14" xfId="0" applyNumberFormat="1" applyBorder="1"/>
    <xf numFmtId="2" fontId="0" fillId="0" borderId="13" xfId="0" applyNumberFormat="1" applyFill="1" applyBorder="1"/>
    <xf numFmtId="0" fontId="0" fillId="0" borderId="14" xfId="0" applyBorder="1"/>
    <xf numFmtId="0" fontId="3" fillId="0" borderId="15" xfId="0" applyFont="1" applyBorder="1"/>
    <xf numFmtId="0" fontId="0" fillId="0" borderId="17" xfId="0" applyFill="1" applyBorder="1"/>
    <xf numFmtId="0" fontId="0" fillId="0" borderId="18" xfId="0" applyFill="1" applyBorder="1"/>
    <xf numFmtId="0" fontId="0" fillId="0" borderId="0" xfId="0" applyFill="1"/>
    <xf numFmtId="0" fontId="0" fillId="2" borderId="13" xfId="0" applyFill="1" applyBorder="1"/>
    <xf numFmtId="0" fontId="7" fillId="0" borderId="26" xfId="0" applyFont="1" applyFill="1" applyBorder="1"/>
    <xf numFmtId="0" fontId="0" fillId="0" borderId="6" xfId="0" applyFill="1" applyBorder="1"/>
    <xf numFmtId="9" fontId="0" fillId="4" borderId="7" xfId="1" applyFont="1" applyFill="1" applyBorder="1"/>
    <xf numFmtId="9" fontId="0" fillId="3" borderId="6" xfId="0" applyNumberFormat="1" applyFill="1" applyBorder="1" applyProtection="1">
      <protection locked="0"/>
    </xf>
    <xf numFmtId="0" fontId="0" fillId="3" borderId="7" xfId="0" applyFill="1" applyBorder="1" applyProtection="1">
      <protection locked="0"/>
    </xf>
    <xf numFmtId="0" fontId="7" fillId="0" borderId="32" xfId="0" applyFont="1" applyFill="1" applyBorder="1"/>
    <xf numFmtId="0" fontId="0" fillId="0" borderId="33" xfId="0" applyFill="1" applyBorder="1"/>
    <xf numFmtId="9" fontId="0" fillId="4" borderId="34" xfId="1" applyFont="1" applyFill="1" applyBorder="1"/>
    <xf numFmtId="9" fontId="0" fillId="3" borderId="33" xfId="0" applyNumberFormat="1" applyFill="1" applyBorder="1" applyProtection="1">
      <protection locked="0"/>
    </xf>
    <xf numFmtId="0" fontId="0" fillId="3" borderId="34" xfId="0" applyFill="1" applyBorder="1" applyProtection="1">
      <protection locked="0"/>
    </xf>
    <xf numFmtId="0" fontId="7" fillId="0" borderId="38" xfId="0" applyFont="1" applyFill="1" applyBorder="1"/>
    <xf numFmtId="0" fontId="0" fillId="0" borderId="20" xfId="0" applyFill="1" applyBorder="1"/>
    <xf numFmtId="9" fontId="0" fillId="0" borderId="43" xfId="1" applyFont="1" applyFill="1" applyBorder="1"/>
    <xf numFmtId="9" fontId="0" fillId="0" borderId="44" xfId="0" applyNumberFormat="1" applyFill="1" applyBorder="1"/>
    <xf numFmtId="0" fontId="0" fillId="0" borderId="21" xfId="0" applyFill="1" applyBorder="1"/>
    <xf numFmtId="0" fontId="11" fillId="2" borderId="38" xfId="0" applyFont="1" applyFill="1" applyBorder="1" applyAlignment="1">
      <alignment wrapText="1"/>
    </xf>
    <xf numFmtId="0" fontId="0" fillId="2" borderId="20" xfId="0" applyFill="1" applyBorder="1"/>
    <xf numFmtId="0" fontId="0" fillId="2" borderId="45" xfId="0" applyFill="1" applyBorder="1"/>
    <xf numFmtId="0" fontId="12" fillId="0" borderId="26" xfId="0" applyFont="1" applyFill="1" applyBorder="1"/>
    <xf numFmtId="0" fontId="0" fillId="4" borderId="46" xfId="0" applyFill="1" applyBorder="1"/>
    <xf numFmtId="0" fontId="0" fillId="7" borderId="6" xfId="0" applyFill="1" applyBorder="1" applyProtection="1">
      <protection locked="0"/>
    </xf>
    <xf numFmtId="0" fontId="0" fillId="7" borderId="7" xfId="0" applyFill="1" applyBorder="1" applyProtection="1">
      <protection locked="0"/>
    </xf>
    <xf numFmtId="0" fontId="12" fillId="0" borderId="28" xfId="0" applyFont="1" applyBorder="1"/>
    <xf numFmtId="0" fontId="0" fillId="0" borderId="29" xfId="0" applyBorder="1"/>
    <xf numFmtId="0" fontId="0" fillId="4" borderId="47" xfId="0" applyFill="1" applyBorder="1"/>
    <xf numFmtId="0" fontId="0" fillId="7" borderId="29" xfId="0" applyFill="1" applyBorder="1" applyProtection="1">
      <protection locked="0"/>
    </xf>
    <xf numFmtId="0" fontId="0" fillId="7" borderId="30" xfId="0" applyFill="1" applyBorder="1" applyProtection="1">
      <protection locked="0"/>
    </xf>
    <xf numFmtId="0" fontId="12" fillId="0" borderId="32" xfId="0" applyFont="1" applyBorder="1"/>
    <xf numFmtId="0" fontId="0" fillId="0" borderId="33" xfId="0" applyBorder="1"/>
    <xf numFmtId="0" fontId="0" fillId="4" borderId="48" xfId="0" applyFill="1" applyBorder="1"/>
    <xf numFmtId="0" fontId="0" fillId="7" borderId="33" xfId="0" applyFill="1" applyBorder="1" applyProtection="1">
      <protection locked="0"/>
    </xf>
    <xf numFmtId="0" fontId="0" fillId="7" borderId="34" xfId="0" applyFill="1" applyBorder="1" applyProtection="1">
      <protection locked="0"/>
    </xf>
    <xf numFmtId="0" fontId="6" fillId="0" borderId="0" xfId="0" applyFont="1"/>
    <xf numFmtId="0" fontId="3" fillId="2" borderId="3" xfId="0" applyFont="1" applyFill="1" applyBorder="1" applyAlignment="1">
      <alignment horizontal="center"/>
    </xf>
    <xf numFmtId="0" fontId="3" fillId="2" borderId="36" xfId="0" applyFont="1" applyFill="1" applyBorder="1" applyAlignment="1">
      <alignment horizontal="center" wrapText="1"/>
    </xf>
    <xf numFmtId="0" fontId="3" fillId="2" borderId="45" xfId="0" applyFont="1" applyFill="1" applyBorder="1" applyAlignment="1">
      <alignment horizontal="center" wrapText="1"/>
    </xf>
    <xf numFmtId="0" fontId="3" fillId="2" borderId="21" xfId="0" applyFont="1" applyFill="1" applyBorder="1" applyAlignment="1">
      <alignment horizontal="center" wrapText="1"/>
    </xf>
    <xf numFmtId="0" fontId="3" fillId="8" borderId="36" xfId="0" applyFont="1" applyFill="1" applyBorder="1" applyAlignment="1">
      <alignment horizontal="center" wrapText="1"/>
    </xf>
    <xf numFmtId="0" fontId="3" fillId="8" borderId="45" xfId="0" applyFont="1" applyFill="1" applyBorder="1" applyAlignment="1">
      <alignment horizontal="center" wrapText="1"/>
    </xf>
    <xf numFmtId="0" fontId="3" fillId="8" borderId="21" xfId="0" applyFont="1" applyFill="1" applyBorder="1" applyAlignment="1">
      <alignment horizontal="center" wrapText="1"/>
    </xf>
    <xf numFmtId="0" fontId="3" fillId="2" borderId="26" xfId="0" applyFont="1" applyFill="1" applyBorder="1" applyAlignment="1">
      <alignment horizontal="center" wrapText="1"/>
    </xf>
    <xf numFmtId="0" fontId="0" fillId="2" borderId="10" xfId="0" applyFill="1" applyBorder="1" applyAlignment="1">
      <alignment horizontal="center" wrapText="1"/>
    </xf>
    <xf numFmtId="0" fontId="0" fillId="2" borderId="50" xfId="0" applyFill="1" applyBorder="1" applyAlignment="1">
      <alignment horizontal="center" wrapText="1"/>
    </xf>
    <xf numFmtId="0" fontId="0" fillId="2" borderId="11" xfId="0" applyFill="1" applyBorder="1" applyAlignment="1">
      <alignment horizontal="center" wrapText="1"/>
    </xf>
    <xf numFmtId="0" fontId="0" fillId="2" borderId="32" xfId="0" applyFill="1" applyBorder="1" applyAlignment="1">
      <alignment wrapText="1"/>
    </xf>
    <xf numFmtId="0" fontId="0" fillId="0" borderId="0" xfId="0" applyAlignment="1">
      <alignment wrapText="1"/>
    </xf>
    <xf numFmtId="0" fontId="0" fillId="2" borderId="12" xfId="0" applyFill="1" applyBorder="1" applyAlignment="1">
      <alignment horizontal="center" wrapText="1"/>
    </xf>
    <xf numFmtId="0" fontId="0" fillId="4" borderId="36" xfId="0" applyFill="1" applyBorder="1" applyAlignment="1">
      <alignment horizontal="center" wrapText="1"/>
    </xf>
    <xf numFmtId="0" fontId="0" fillId="4" borderId="45" xfId="0" applyFill="1" applyBorder="1" applyAlignment="1">
      <alignment horizontal="center" wrapText="1"/>
    </xf>
    <xf numFmtId="0" fontId="0" fillId="2" borderId="21" xfId="0" applyFill="1" applyBorder="1" applyAlignment="1">
      <alignment horizontal="center" wrapText="1"/>
    </xf>
    <xf numFmtId="0" fontId="0" fillId="2" borderId="12" xfId="0" applyFill="1" applyBorder="1" applyAlignment="1">
      <alignment wrapText="1"/>
    </xf>
    <xf numFmtId="0" fontId="0" fillId="3" borderId="19" xfId="0" applyFill="1" applyBorder="1" applyAlignment="1" applyProtection="1">
      <alignment horizontal="center" wrapText="1"/>
      <protection locked="0"/>
    </xf>
    <xf numFmtId="0" fontId="0" fillId="3" borderId="44" xfId="0" applyFill="1" applyBorder="1" applyAlignment="1" applyProtection="1">
      <alignment horizontal="center" wrapText="1"/>
      <protection locked="0"/>
    </xf>
    <xf numFmtId="0" fontId="0" fillId="3" borderId="14" xfId="0" applyFill="1" applyBorder="1" applyAlignment="1" applyProtection="1">
      <alignment wrapText="1"/>
      <protection locked="0"/>
    </xf>
    <xf numFmtId="0" fontId="0" fillId="3" borderId="12" xfId="0" applyFill="1" applyBorder="1" applyAlignment="1" applyProtection="1">
      <alignment wrapText="1"/>
      <protection locked="0"/>
    </xf>
    <xf numFmtId="0" fontId="0" fillId="2" borderId="16" xfId="0" applyFill="1" applyBorder="1" applyAlignment="1">
      <alignment horizontal="center" wrapText="1"/>
    </xf>
    <xf numFmtId="0" fontId="0" fillId="2" borderId="51" xfId="0" applyFill="1" applyBorder="1" applyAlignment="1">
      <alignment horizontal="center" wrapText="1"/>
    </xf>
    <xf numFmtId="0" fontId="0" fillId="2" borderId="17" xfId="0" applyFill="1" applyBorder="1" applyAlignment="1">
      <alignment horizontal="center" wrapText="1"/>
    </xf>
    <xf numFmtId="0" fontId="0" fillId="2" borderId="38" xfId="0" applyFill="1" applyBorder="1" applyAlignment="1">
      <alignment wrapText="1"/>
    </xf>
    <xf numFmtId="0" fontId="0" fillId="2" borderId="6" xfId="0" applyFill="1" applyBorder="1" applyAlignment="1">
      <alignment horizontal="center" wrapText="1"/>
    </xf>
    <xf numFmtId="0" fontId="0" fillId="2" borderId="26" xfId="0" applyFill="1" applyBorder="1" applyAlignment="1">
      <alignment wrapText="1"/>
    </xf>
    <xf numFmtId="9" fontId="0" fillId="3" borderId="29" xfId="1" applyFont="1" applyFill="1" applyBorder="1" applyAlignment="1" applyProtection="1">
      <alignment horizontal="center" wrapText="1"/>
      <protection locked="0"/>
    </xf>
    <xf numFmtId="9" fontId="0" fillId="3" borderId="49" xfId="1" applyFont="1" applyFill="1" applyBorder="1" applyAlignment="1" applyProtection="1">
      <alignment horizontal="center" wrapText="1"/>
      <protection locked="0"/>
    </xf>
    <xf numFmtId="0" fontId="0" fillId="3" borderId="28" xfId="0" applyFill="1" applyBorder="1" applyAlignment="1" applyProtection="1">
      <alignment wrapText="1"/>
      <protection locked="0"/>
    </xf>
    <xf numFmtId="0" fontId="0" fillId="2" borderId="33" xfId="0" applyFill="1" applyBorder="1" applyAlignment="1">
      <alignment horizontal="center" wrapText="1"/>
    </xf>
    <xf numFmtId="0" fontId="0" fillId="2" borderId="54" xfId="0" applyFill="1" applyBorder="1" applyAlignment="1">
      <alignment horizontal="center" wrapText="1"/>
    </xf>
    <xf numFmtId="0" fontId="0" fillId="2" borderId="14" xfId="0" applyFill="1" applyBorder="1" applyAlignment="1">
      <alignment horizontal="center" wrapText="1"/>
    </xf>
    <xf numFmtId="0" fontId="0" fillId="0" borderId="56" xfId="0" applyFill="1" applyBorder="1" applyAlignment="1">
      <alignment horizontal="center"/>
    </xf>
    <xf numFmtId="9" fontId="0" fillId="3" borderId="23" xfId="0" applyNumberFormat="1" applyFill="1" applyBorder="1" applyProtection="1">
      <protection locked="0"/>
    </xf>
    <xf numFmtId="9" fontId="0" fillId="3" borderId="57" xfId="0" applyNumberFormat="1" applyFill="1" applyBorder="1" applyProtection="1">
      <protection locked="0"/>
    </xf>
    <xf numFmtId="9" fontId="0" fillId="0" borderId="24" xfId="0" applyNumberFormat="1" applyFill="1" applyBorder="1"/>
    <xf numFmtId="2" fontId="0" fillId="0" borderId="22" xfId="0" applyNumberFormat="1" applyFill="1" applyBorder="1"/>
    <xf numFmtId="2" fontId="0" fillId="0" borderId="58" xfId="0" applyNumberFormat="1" applyFill="1" applyBorder="1"/>
    <xf numFmtId="0" fontId="0" fillId="0" borderId="27" xfId="0" applyBorder="1" applyAlignment="1">
      <alignment horizontal="center"/>
    </xf>
    <xf numFmtId="9" fontId="0" fillId="3" borderId="29" xfId="0" applyNumberFormat="1" applyFill="1" applyBorder="1" applyProtection="1">
      <protection locked="0"/>
    </xf>
    <xf numFmtId="9" fontId="0" fillId="3" borderId="49" xfId="0" applyNumberFormat="1" applyFill="1" applyBorder="1" applyProtection="1">
      <protection locked="0"/>
    </xf>
    <xf numFmtId="9" fontId="0" fillId="0" borderId="30" xfId="0" applyNumberFormat="1" applyFill="1" applyBorder="1"/>
    <xf numFmtId="0" fontId="0" fillId="0" borderId="35" xfId="0" applyBorder="1" applyAlignment="1">
      <alignment horizontal="center"/>
    </xf>
    <xf numFmtId="9" fontId="0" fillId="3" borderId="54" xfId="0" applyNumberFormat="1" applyFill="1" applyBorder="1" applyProtection="1">
      <protection locked="0"/>
    </xf>
    <xf numFmtId="9" fontId="0" fillId="0" borderId="34" xfId="0" applyNumberFormat="1" applyFill="1" applyBorder="1"/>
    <xf numFmtId="2" fontId="0" fillId="0" borderId="32" xfId="0" applyNumberFormat="1" applyFill="1" applyBorder="1"/>
    <xf numFmtId="0" fontId="6" fillId="0" borderId="0" xfId="0" applyFont="1" applyBorder="1"/>
    <xf numFmtId="0" fontId="3" fillId="0" borderId="0" xfId="0" applyFont="1" applyFill="1" applyBorder="1" applyAlignment="1">
      <alignment horizontal="left"/>
    </xf>
    <xf numFmtId="0" fontId="0" fillId="4" borderId="12" xfId="0" applyFill="1" applyBorder="1"/>
    <xf numFmtId="9" fontId="0" fillId="4" borderId="12" xfId="1" applyFont="1" applyFill="1" applyBorder="1"/>
    <xf numFmtId="9" fontId="0" fillId="4" borderId="19" xfId="1" applyFont="1" applyFill="1" applyBorder="1"/>
    <xf numFmtId="9" fontId="0" fillId="4" borderId="44" xfId="1" applyFont="1" applyFill="1" applyBorder="1"/>
    <xf numFmtId="9" fontId="0" fillId="0" borderId="12" xfId="1" applyFont="1" applyBorder="1"/>
    <xf numFmtId="0" fontId="0" fillId="5" borderId="3" xfId="0" applyFill="1" applyBorder="1"/>
    <xf numFmtId="0" fontId="3" fillId="2" borderId="25" xfId="0" applyFont="1" applyFill="1" applyBorder="1" applyAlignment="1">
      <alignment horizontal="center" wrapText="1"/>
    </xf>
    <xf numFmtId="0" fontId="3" fillId="2" borderId="59" xfId="0" applyFont="1" applyFill="1" applyBorder="1" applyAlignment="1">
      <alignment horizontal="center" wrapText="1"/>
    </xf>
    <xf numFmtId="0" fontId="3" fillId="2" borderId="60" xfId="0" applyFont="1" applyFill="1" applyBorder="1" applyAlignment="1">
      <alignment horizontal="center" wrapText="1"/>
    </xf>
    <xf numFmtId="0" fontId="3" fillId="2" borderId="46" xfId="0" applyFont="1" applyFill="1" applyBorder="1" applyAlignment="1">
      <alignment horizontal="center" wrapText="1"/>
    </xf>
    <xf numFmtId="0" fontId="3" fillId="0" borderId="0" xfId="0" applyFont="1" applyAlignment="1">
      <alignment horizontal="center" wrapText="1"/>
    </xf>
    <xf numFmtId="0" fontId="0" fillId="2" borderId="35" xfId="0" applyFill="1" applyBorder="1" applyAlignment="1">
      <alignment horizontal="center" wrapText="1"/>
    </xf>
    <xf numFmtId="0" fontId="0" fillId="2" borderId="32" xfId="0" applyFill="1" applyBorder="1" applyAlignment="1">
      <alignment horizontal="center" wrapText="1"/>
    </xf>
    <xf numFmtId="0" fontId="0" fillId="2" borderId="31" xfId="0" applyFill="1" applyBorder="1" applyAlignment="1">
      <alignment horizontal="center" wrapText="1"/>
    </xf>
    <xf numFmtId="0" fontId="0" fillId="2" borderId="61" xfId="0" applyFill="1" applyBorder="1" applyAlignment="1">
      <alignment horizontal="center" wrapText="1"/>
    </xf>
    <xf numFmtId="0" fontId="0" fillId="2" borderId="48" xfId="0" applyFill="1" applyBorder="1" applyAlignment="1">
      <alignment horizontal="center" wrapText="1"/>
    </xf>
    <xf numFmtId="0" fontId="0" fillId="0" borderId="0" xfId="0" applyAlignment="1">
      <alignment horizontal="center" wrapText="1"/>
    </xf>
    <xf numFmtId="0" fontId="0" fillId="2" borderId="62" xfId="0" applyFill="1" applyBorder="1" applyAlignment="1">
      <alignment horizontal="center" wrapText="1"/>
    </xf>
    <xf numFmtId="0" fontId="0" fillId="0" borderId="56" xfId="0" applyFill="1" applyBorder="1"/>
    <xf numFmtId="0" fontId="0" fillId="3" borderId="56" xfId="0" applyFill="1" applyBorder="1" applyProtection="1">
      <protection locked="0"/>
    </xf>
    <xf numFmtId="0" fontId="0" fillId="7" borderId="26" xfId="0" applyFill="1" applyBorder="1"/>
    <xf numFmtId="9" fontId="0" fillId="3" borderId="40" xfId="1" applyFont="1" applyFill="1" applyBorder="1" applyProtection="1">
      <protection locked="0"/>
    </xf>
    <xf numFmtId="9" fontId="0" fillId="3" borderId="56" xfId="1" applyFont="1" applyFill="1" applyBorder="1" applyProtection="1">
      <protection locked="0"/>
    </xf>
    <xf numFmtId="9" fontId="0" fillId="0" borderId="26" xfId="1" applyFont="1" applyBorder="1"/>
    <xf numFmtId="0" fontId="0" fillId="0" borderId="25" xfId="0" applyFill="1" applyBorder="1"/>
    <xf numFmtId="9" fontId="0" fillId="3" borderId="25" xfId="0" applyNumberFormat="1" applyFill="1" applyBorder="1" applyProtection="1">
      <protection locked="0"/>
    </xf>
    <xf numFmtId="0" fontId="0" fillId="0" borderId="27" xfId="0" applyBorder="1"/>
    <xf numFmtId="0" fontId="0" fillId="7" borderId="28" xfId="0" applyFill="1" applyBorder="1"/>
    <xf numFmtId="9" fontId="0" fillId="0" borderId="28" xfId="1" applyFont="1" applyBorder="1"/>
    <xf numFmtId="0" fontId="0" fillId="0" borderId="27" xfId="0" applyFill="1" applyBorder="1"/>
    <xf numFmtId="9" fontId="0" fillId="3" borderId="27" xfId="0" applyNumberFormat="1" applyFill="1" applyBorder="1" applyProtection="1">
      <protection locked="0"/>
    </xf>
    <xf numFmtId="0" fontId="0" fillId="0" borderId="35" xfId="0" applyBorder="1"/>
    <xf numFmtId="0" fontId="0" fillId="3" borderId="53" xfId="0" applyFill="1" applyBorder="1" applyProtection="1">
      <protection locked="0"/>
    </xf>
    <xf numFmtId="0" fontId="0" fillId="7" borderId="32" xfId="0" applyFill="1" applyBorder="1"/>
    <xf numFmtId="9" fontId="0" fillId="3" borderId="35" xfId="0" applyNumberFormat="1" applyFill="1" applyBorder="1" applyProtection="1">
      <protection locked="0"/>
    </xf>
    <xf numFmtId="9" fontId="0" fillId="0" borderId="32" xfId="1" applyFont="1" applyBorder="1"/>
    <xf numFmtId="0" fontId="0" fillId="0" borderId="35" xfId="0" applyFill="1" applyBorder="1"/>
    <xf numFmtId="0" fontId="7" fillId="0" borderId="0" xfId="0" applyFont="1"/>
    <xf numFmtId="0" fontId="16" fillId="0" borderId="0" xfId="0" applyFont="1"/>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0" fillId="2" borderId="34" xfId="0" applyFill="1" applyBorder="1" applyAlignment="1">
      <alignment horizontal="center" wrapText="1"/>
    </xf>
    <xf numFmtId="0" fontId="0" fillId="0" borderId="56" xfId="0" applyFill="1" applyBorder="1" applyProtection="1">
      <protection locked="0"/>
    </xf>
    <xf numFmtId="3" fontId="0" fillId="7" borderId="6" xfId="0" applyNumberFormat="1" applyFill="1" applyBorder="1" applyProtection="1">
      <protection locked="0"/>
    </xf>
    <xf numFmtId="3" fontId="0" fillId="7" borderId="60" xfId="0" applyNumberFormat="1" applyFill="1" applyBorder="1" applyProtection="1">
      <protection locked="0"/>
    </xf>
    <xf numFmtId="3" fontId="0" fillId="7" borderId="45" xfId="0" applyNumberFormat="1" applyFill="1" applyBorder="1" applyProtection="1">
      <protection locked="0"/>
    </xf>
    <xf numFmtId="3" fontId="0" fillId="7" borderId="7" xfId="0" applyNumberFormat="1" applyFill="1" applyBorder="1" applyProtection="1">
      <protection locked="0"/>
    </xf>
    <xf numFmtId="3" fontId="0" fillId="0" borderId="0" xfId="0" applyNumberFormat="1"/>
    <xf numFmtId="0" fontId="0" fillId="0" borderId="56" xfId="0" applyBorder="1"/>
    <xf numFmtId="3" fontId="0" fillId="7" borderId="29" xfId="0" applyNumberFormat="1" applyFill="1" applyBorder="1" applyProtection="1">
      <protection locked="0"/>
    </xf>
    <xf numFmtId="3" fontId="0" fillId="7" borderId="49" xfId="0" applyNumberFormat="1" applyFill="1" applyBorder="1" applyProtection="1">
      <protection locked="0"/>
    </xf>
    <xf numFmtId="3" fontId="0" fillId="7" borderId="47" xfId="0" applyNumberFormat="1" applyFill="1" applyBorder="1" applyProtection="1">
      <protection locked="0"/>
    </xf>
    <xf numFmtId="3" fontId="0" fillId="7" borderId="24" xfId="0" applyNumberFormat="1" applyFill="1" applyBorder="1" applyProtection="1">
      <protection locked="0"/>
    </xf>
    <xf numFmtId="3" fontId="0" fillId="7" borderId="33" xfId="0" applyNumberFormat="1" applyFill="1" applyBorder="1" applyProtection="1">
      <protection locked="0"/>
    </xf>
    <xf numFmtId="3" fontId="0" fillId="7" borderId="54" xfId="0" applyNumberFormat="1" applyFill="1" applyBorder="1" applyProtection="1">
      <protection locked="0"/>
    </xf>
    <xf numFmtId="3" fontId="0" fillId="7" borderId="48" xfId="0" applyNumberFormat="1" applyFill="1" applyBorder="1" applyProtection="1">
      <protection locked="0"/>
    </xf>
    <xf numFmtId="3" fontId="0" fillId="7" borderId="34" xfId="0" applyNumberFormat="1" applyFill="1" applyBorder="1" applyProtection="1">
      <protection locked="0"/>
    </xf>
    <xf numFmtId="0" fontId="0" fillId="0" borderId="0" xfId="0" applyProtection="1"/>
    <xf numFmtId="0" fontId="6" fillId="0" borderId="0" xfId="0" applyFont="1" applyProtection="1"/>
    <xf numFmtId="2" fontId="6" fillId="0" borderId="0" xfId="0" applyNumberFormat="1" applyFont="1" applyProtection="1"/>
    <xf numFmtId="2" fontId="0" fillId="0" borderId="0" xfId="0" applyNumberFormat="1" applyProtection="1"/>
    <xf numFmtId="0" fontId="3" fillId="0" borderId="0" xfId="0" applyFont="1" applyAlignment="1" applyProtection="1">
      <alignment wrapText="1"/>
    </xf>
    <xf numFmtId="0" fontId="3" fillId="2" borderId="19" xfId="0" applyFont="1" applyFill="1" applyBorder="1" applyAlignment="1" applyProtection="1">
      <alignment horizontal="center" wrapText="1"/>
    </xf>
    <xf numFmtId="0" fontId="3" fillId="2" borderId="3" xfId="0" applyFont="1" applyFill="1" applyBorder="1" applyAlignment="1" applyProtection="1">
      <alignment horizontal="center" wrapText="1"/>
    </xf>
    <xf numFmtId="0" fontId="3" fillId="2" borderId="1" xfId="0" applyFont="1" applyFill="1" applyBorder="1" applyAlignment="1" applyProtection="1">
      <alignment horizontal="center" wrapText="1"/>
    </xf>
    <xf numFmtId="2" fontId="3" fillId="2" borderId="1" xfId="0" applyNumberFormat="1" applyFont="1" applyFill="1" applyBorder="1" applyAlignment="1" applyProtection="1">
      <alignment horizontal="center" wrapText="1"/>
    </xf>
    <xf numFmtId="0" fontId="3" fillId="2" borderId="12" xfId="0" applyFont="1" applyFill="1" applyBorder="1" applyAlignment="1" applyProtection="1">
      <alignment horizontal="center" wrapText="1"/>
    </xf>
    <xf numFmtId="0" fontId="3" fillId="2" borderId="3" xfId="0" applyFont="1" applyFill="1" applyBorder="1" applyAlignment="1" applyProtection="1">
      <alignment horizontal="center"/>
    </xf>
    <xf numFmtId="0" fontId="0" fillId="0" borderId="0" xfId="0" applyAlignment="1" applyProtection="1">
      <alignment wrapText="1"/>
    </xf>
    <xf numFmtId="0" fontId="0" fillId="2" borderId="16" xfId="0" applyFill="1" applyBorder="1" applyAlignment="1" applyProtection="1">
      <alignment horizontal="center" wrapText="1"/>
    </xf>
    <xf numFmtId="0" fontId="0" fillId="2" borderId="9" xfId="0" applyFill="1" applyBorder="1" applyAlignment="1" applyProtection="1">
      <alignment horizontal="center" wrapText="1"/>
    </xf>
    <xf numFmtId="0" fontId="0" fillId="2" borderId="63" xfId="0" applyFill="1" applyBorder="1" applyAlignment="1" applyProtection="1">
      <alignment horizontal="center" wrapText="1"/>
    </xf>
    <xf numFmtId="2" fontId="0" fillId="2" borderId="8" xfId="0" applyNumberFormat="1" applyFill="1" applyBorder="1" applyAlignment="1" applyProtection="1">
      <alignment horizontal="center" wrapText="1"/>
    </xf>
    <xf numFmtId="0" fontId="0" fillId="2" borderId="15" xfId="0" applyFill="1" applyBorder="1" applyProtection="1"/>
    <xf numFmtId="0" fontId="0" fillId="2" borderId="9" xfId="0" applyFill="1" applyBorder="1" applyProtection="1"/>
    <xf numFmtId="0" fontId="0" fillId="2" borderId="12" xfId="0" applyFill="1" applyBorder="1" applyAlignment="1" applyProtection="1">
      <alignment horizontal="center" wrapText="1"/>
    </xf>
    <xf numFmtId="0" fontId="0" fillId="4" borderId="12" xfId="0" applyFill="1" applyBorder="1" applyAlignment="1" applyProtection="1">
      <alignment horizontal="center" wrapText="1"/>
    </xf>
    <xf numFmtId="0" fontId="0" fillId="2" borderId="1" xfId="0" applyFill="1" applyBorder="1" applyAlignment="1" applyProtection="1">
      <alignment horizontal="center" wrapText="1"/>
    </xf>
    <xf numFmtId="2" fontId="0" fillId="2" borderId="1" xfId="0" applyNumberFormat="1" applyFill="1" applyBorder="1" applyAlignment="1" applyProtection="1">
      <alignment horizontal="center" wrapText="1"/>
    </xf>
    <xf numFmtId="0" fontId="0" fillId="4" borderId="12" xfId="0" applyFill="1" applyBorder="1" applyAlignment="1" applyProtection="1">
      <alignment horizontal="center"/>
    </xf>
    <xf numFmtId="0" fontId="0" fillId="2" borderId="3" xfId="0" applyFill="1" applyBorder="1" applyProtection="1"/>
    <xf numFmtId="0" fontId="0" fillId="2" borderId="4" xfId="0" applyFill="1" applyBorder="1" applyAlignment="1" applyProtection="1">
      <alignment horizontal="center" wrapText="1"/>
    </xf>
    <xf numFmtId="2" fontId="0" fillId="2" borderId="4" xfId="0" applyNumberFormat="1" applyFill="1" applyBorder="1" applyAlignment="1" applyProtection="1">
      <alignment horizontal="center" wrapText="1"/>
    </xf>
    <xf numFmtId="0" fontId="0" fillId="2" borderId="26" xfId="0" applyFill="1" applyBorder="1" applyProtection="1"/>
    <xf numFmtId="0" fontId="0" fillId="2" borderId="52" xfId="0" applyFill="1" applyBorder="1" applyProtection="1"/>
    <xf numFmtId="0" fontId="0" fillId="2" borderId="33" xfId="0" applyFill="1" applyBorder="1" applyAlignment="1" applyProtection="1">
      <alignment horizontal="center" wrapText="1"/>
    </xf>
    <xf numFmtId="0" fontId="0" fillId="2" borderId="64" xfId="0" applyFill="1" applyBorder="1" applyAlignment="1" applyProtection="1">
      <alignment horizontal="center" wrapText="1"/>
    </xf>
    <xf numFmtId="0" fontId="0" fillId="2" borderId="35" xfId="0" applyFill="1" applyBorder="1" applyAlignment="1" applyProtection="1">
      <alignment horizontal="center" wrapText="1"/>
    </xf>
    <xf numFmtId="2" fontId="0" fillId="2" borderId="35" xfId="0" applyNumberFormat="1" applyFill="1" applyBorder="1" applyAlignment="1" applyProtection="1">
      <alignment horizontal="center" wrapText="1"/>
    </xf>
    <xf numFmtId="0" fontId="0" fillId="2" borderId="32" xfId="0" applyFill="1" applyBorder="1" applyAlignment="1" applyProtection="1">
      <alignment horizontal="center"/>
    </xf>
    <xf numFmtId="0" fontId="0" fillId="2" borderId="64" xfId="0" applyFill="1" applyBorder="1" applyProtection="1"/>
    <xf numFmtId="0" fontId="0" fillId="0" borderId="56" xfId="0" applyFill="1" applyBorder="1" applyProtection="1"/>
    <xf numFmtId="164" fontId="0" fillId="3" borderId="22" xfId="0" applyNumberFormat="1" applyFill="1" applyBorder="1" applyProtection="1">
      <protection locked="0"/>
    </xf>
    <xf numFmtId="2" fontId="0" fillId="0" borderId="56" xfId="0" applyNumberFormat="1" applyFill="1" applyBorder="1" applyProtection="1"/>
    <xf numFmtId="2" fontId="0" fillId="7" borderId="22" xfId="0" applyNumberFormat="1" applyFill="1" applyBorder="1" applyProtection="1"/>
    <xf numFmtId="0" fontId="0" fillId="7" borderId="58" xfId="0" applyFill="1" applyBorder="1" applyProtection="1"/>
    <xf numFmtId="0" fontId="0" fillId="0" borderId="27" xfId="0" applyBorder="1" applyProtection="1"/>
    <xf numFmtId="164" fontId="0" fillId="3" borderId="28" xfId="0" applyNumberFormat="1" applyFill="1" applyBorder="1" applyProtection="1">
      <protection locked="0"/>
    </xf>
    <xf numFmtId="0" fontId="0" fillId="7" borderId="65" xfId="0" applyFill="1" applyBorder="1" applyProtection="1"/>
    <xf numFmtId="0" fontId="0" fillId="0" borderId="35" xfId="0" applyBorder="1" applyProtection="1"/>
    <xf numFmtId="164" fontId="0" fillId="3" borderId="32" xfId="0" applyNumberFormat="1" applyFill="1" applyBorder="1" applyProtection="1">
      <protection locked="0"/>
    </xf>
    <xf numFmtId="2" fontId="0" fillId="0" borderId="35" xfId="0" applyNumberFormat="1" applyFill="1" applyBorder="1" applyProtection="1"/>
    <xf numFmtId="2" fontId="0" fillId="7" borderId="32" xfId="0" applyNumberFormat="1" applyFill="1" applyBorder="1" applyProtection="1"/>
    <xf numFmtId="0" fontId="0" fillId="7" borderId="64" xfId="0" applyFill="1" applyBorder="1" applyProtection="1"/>
    <xf numFmtId="0" fontId="0" fillId="0" borderId="0" xfId="0" applyBorder="1" applyProtection="1"/>
    <xf numFmtId="0" fontId="0" fillId="9" borderId="0" xfId="0" applyFill="1" applyBorder="1"/>
    <xf numFmtId="3" fontId="0" fillId="9" borderId="0" xfId="0" applyNumberFormat="1" applyFill="1"/>
    <xf numFmtId="3" fontId="0" fillId="9" borderId="0" xfId="0" applyNumberFormat="1" applyFill="1" applyBorder="1"/>
    <xf numFmtId="0" fontId="0" fillId="9" borderId="0" xfId="0" applyFill="1"/>
    <xf numFmtId="3" fontId="6" fillId="9" borderId="0" xfId="0" applyNumberFormat="1" applyFont="1" applyFill="1"/>
    <xf numFmtId="3" fontId="3" fillId="9" borderId="0" xfId="0" applyNumberFormat="1" applyFont="1" applyFill="1"/>
    <xf numFmtId="3" fontId="3" fillId="9" borderId="0" xfId="0" applyNumberFormat="1" applyFont="1" applyFill="1" applyBorder="1" applyAlignment="1">
      <alignment horizontal="left"/>
    </xf>
    <xf numFmtId="3" fontId="16" fillId="9" borderId="0" xfId="0" applyNumberFormat="1" applyFont="1" applyFill="1"/>
    <xf numFmtId="3" fontId="0" fillId="0" borderId="0" xfId="0" applyNumberFormat="1" applyBorder="1" applyAlignment="1">
      <alignment horizontal="center"/>
    </xf>
    <xf numFmtId="3" fontId="0" fillId="6" borderId="0" xfId="0" applyNumberFormat="1" applyFill="1" applyBorder="1"/>
    <xf numFmtId="0" fontId="3" fillId="9" borderId="0" xfId="0" applyFont="1" applyFill="1" applyAlignment="1">
      <alignment wrapText="1"/>
    </xf>
    <xf numFmtId="3" fontId="3" fillId="2" borderId="25" xfId="0" applyNumberFormat="1" applyFont="1" applyFill="1" applyBorder="1" applyAlignment="1">
      <alignment horizontal="center" wrapText="1"/>
    </xf>
    <xf numFmtId="3" fontId="3" fillId="2" borderId="6" xfId="0" applyNumberFormat="1" applyFont="1" applyFill="1" applyBorder="1" applyAlignment="1">
      <alignment horizontal="center" wrapText="1"/>
    </xf>
    <xf numFmtId="3" fontId="3" fillId="2" borderId="60" xfId="0" applyNumberFormat="1" applyFont="1" applyFill="1" applyBorder="1" applyAlignment="1">
      <alignment horizontal="center" wrapText="1"/>
    </xf>
    <xf numFmtId="3" fontId="3" fillId="2" borderId="46" xfId="0" applyNumberFormat="1" applyFont="1" applyFill="1" applyBorder="1" applyAlignment="1">
      <alignment horizontal="center" wrapText="1"/>
    </xf>
    <xf numFmtId="3" fontId="3" fillId="2" borderId="26" xfId="0" applyNumberFormat="1" applyFont="1" applyFill="1" applyBorder="1" applyAlignment="1">
      <alignment horizontal="center" wrapText="1"/>
    </xf>
    <xf numFmtId="3" fontId="3" fillId="2" borderId="40" xfId="0" applyNumberFormat="1" applyFont="1" applyFill="1" applyBorder="1" applyAlignment="1">
      <alignment horizontal="center" wrapText="1"/>
    </xf>
    <xf numFmtId="3" fontId="3" fillId="6" borderId="0" xfId="0" applyNumberFormat="1" applyFont="1" applyFill="1" applyBorder="1" applyAlignment="1">
      <alignment horizontal="center" wrapText="1"/>
    </xf>
    <xf numFmtId="3" fontId="3" fillId="10" borderId="12" xfId="0" applyNumberFormat="1" applyFont="1" applyFill="1" applyBorder="1" applyAlignment="1">
      <alignment horizontal="center" wrapText="1"/>
    </xf>
    <xf numFmtId="0" fontId="17" fillId="9" borderId="0" xfId="0" applyFont="1" applyFill="1" applyAlignment="1">
      <alignment wrapText="1"/>
    </xf>
    <xf numFmtId="3" fontId="17" fillId="2" borderId="8" xfId="0" applyNumberFormat="1" applyFont="1" applyFill="1" applyBorder="1" applyAlignment="1">
      <alignment horizontal="center" wrapText="1"/>
    </xf>
    <xf numFmtId="3" fontId="17" fillId="2" borderId="16" xfId="0" applyNumberFormat="1" applyFont="1" applyFill="1" applyBorder="1" applyAlignment="1">
      <alignment horizontal="center" wrapText="1"/>
    </xf>
    <xf numFmtId="3" fontId="17" fillId="2" borderId="51" xfId="0" applyNumberFormat="1" applyFont="1" applyFill="1" applyBorder="1" applyAlignment="1">
      <alignment horizontal="center" wrapText="1"/>
    </xf>
    <xf numFmtId="3" fontId="17" fillId="2" borderId="47" xfId="0" applyNumberFormat="1" applyFont="1" applyFill="1" applyBorder="1" applyAlignment="1">
      <alignment horizontal="center" wrapText="1"/>
    </xf>
    <xf numFmtId="3" fontId="17" fillId="2" borderId="28" xfId="0" applyNumberFormat="1" applyFont="1" applyFill="1" applyBorder="1" applyAlignment="1">
      <alignment horizontal="center" wrapText="1"/>
    </xf>
    <xf numFmtId="3" fontId="17" fillId="2" borderId="15" xfId="0" applyNumberFormat="1" applyFont="1" applyFill="1" applyBorder="1" applyAlignment="1">
      <alignment horizontal="center" wrapText="1"/>
    </xf>
    <xf numFmtId="3" fontId="17" fillId="2" borderId="0" xfId="0" applyNumberFormat="1" applyFont="1" applyFill="1" applyBorder="1" applyAlignment="1">
      <alignment horizontal="center" wrapText="1"/>
    </xf>
    <xf numFmtId="3" fontId="17" fillId="6" borderId="0" xfId="0" applyNumberFormat="1" applyFont="1" applyFill="1" applyBorder="1" applyAlignment="1">
      <alignment horizontal="center" wrapText="1"/>
    </xf>
    <xf numFmtId="3" fontId="17" fillId="10" borderId="12" xfId="0" applyNumberFormat="1" applyFont="1" applyFill="1" applyBorder="1" applyAlignment="1">
      <alignment horizontal="center" wrapText="1"/>
    </xf>
    <xf numFmtId="0" fontId="0" fillId="9" borderId="0" xfId="0" applyFill="1" applyAlignment="1">
      <alignment wrapText="1"/>
    </xf>
    <xf numFmtId="3" fontId="0" fillId="2" borderId="35" xfId="0" applyNumberFormat="1" applyFill="1" applyBorder="1" applyAlignment="1">
      <alignment horizontal="center" wrapText="1"/>
    </xf>
    <xf numFmtId="3" fontId="0" fillId="2" borderId="33" xfId="0" applyNumberFormat="1" applyFill="1" applyBorder="1" applyAlignment="1">
      <alignment horizontal="center" wrapText="1"/>
    </xf>
    <xf numFmtId="3" fontId="0" fillId="2" borderId="54" xfId="0" applyNumberFormat="1" applyFill="1" applyBorder="1" applyAlignment="1">
      <alignment horizontal="center" wrapText="1"/>
    </xf>
    <xf numFmtId="3" fontId="0" fillId="2" borderId="48" xfId="0" applyNumberFormat="1" applyFill="1" applyBorder="1" applyAlignment="1">
      <alignment horizontal="center" wrapText="1"/>
    </xf>
    <xf numFmtId="3" fontId="0" fillId="2" borderId="32" xfId="0" applyNumberFormat="1" applyFill="1" applyBorder="1" applyAlignment="1">
      <alignment horizontal="center" wrapText="1"/>
    </xf>
    <xf numFmtId="3" fontId="0" fillId="2" borderId="42" xfId="0" applyNumberFormat="1" applyFill="1" applyBorder="1" applyAlignment="1">
      <alignment horizontal="center" wrapText="1"/>
    </xf>
    <xf numFmtId="3" fontId="0" fillId="6" borderId="0" xfId="0" applyNumberFormat="1" applyFill="1" applyBorder="1" applyAlignment="1">
      <alignment horizontal="center" wrapText="1"/>
    </xf>
    <xf numFmtId="3" fontId="0" fillId="10" borderId="12" xfId="0" applyNumberFormat="1" applyFill="1" applyBorder="1" applyAlignment="1">
      <alignment horizontal="center" wrapText="1"/>
    </xf>
    <xf numFmtId="3" fontId="0" fillId="0" borderId="4" xfId="0" applyNumberFormat="1" applyBorder="1" applyAlignment="1">
      <alignment wrapText="1"/>
    </xf>
    <xf numFmtId="3" fontId="0" fillId="0" borderId="19" xfId="0" applyNumberFormat="1" applyBorder="1" applyAlignment="1">
      <alignment wrapText="1"/>
    </xf>
    <xf numFmtId="3" fontId="0" fillId="0" borderId="44" xfId="0" applyNumberFormat="1" applyBorder="1" applyAlignment="1">
      <alignment wrapText="1"/>
    </xf>
    <xf numFmtId="3" fontId="0" fillId="0" borderId="66" xfId="0" applyNumberFormat="1" applyBorder="1" applyAlignment="1">
      <alignment wrapText="1"/>
    </xf>
    <xf numFmtId="3" fontId="0" fillId="0" borderId="12" xfId="0" applyNumberFormat="1" applyBorder="1" applyAlignment="1">
      <alignment wrapText="1"/>
    </xf>
    <xf numFmtId="3" fontId="0" fillId="0" borderId="38" xfId="0" applyNumberFormat="1" applyBorder="1" applyAlignment="1">
      <alignment wrapText="1"/>
    </xf>
    <xf numFmtId="3" fontId="0" fillId="0" borderId="37" xfId="0" applyNumberFormat="1" applyBorder="1" applyAlignment="1">
      <alignment wrapText="1"/>
    </xf>
    <xf numFmtId="3" fontId="0" fillId="6" borderId="0" xfId="0" applyNumberFormat="1" applyFill="1" applyBorder="1" applyAlignment="1">
      <alignment wrapText="1"/>
    </xf>
    <xf numFmtId="3" fontId="0" fillId="0" borderId="15" xfId="0" applyNumberFormat="1" applyFill="1" applyBorder="1" applyAlignment="1">
      <alignment wrapText="1"/>
    </xf>
    <xf numFmtId="1" fontId="0" fillId="0" borderId="26" xfId="0" applyNumberFormat="1" applyFill="1" applyBorder="1" applyProtection="1">
      <protection locked="0"/>
    </xf>
    <xf numFmtId="3" fontId="0" fillId="0" borderId="67" xfId="0" applyNumberFormat="1" applyFill="1" applyBorder="1"/>
    <xf numFmtId="3" fontId="0" fillId="0" borderId="57" xfId="0" applyNumberFormat="1" applyFill="1" applyBorder="1"/>
    <xf numFmtId="3" fontId="0" fillId="0" borderId="46" xfId="0" applyNumberFormat="1" applyFill="1" applyBorder="1"/>
    <xf numFmtId="3" fontId="0" fillId="0" borderId="26" xfId="0" applyNumberFormat="1" applyFill="1" applyBorder="1"/>
    <xf numFmtId="3" fontId="0" fillId="0" borderId="22" xfId="0" applyNumberFormat="1" applyFill="1" applyBorder="1"/>
    <xf numFmtId="3" fontId="0" fillId="0" borderId="52" xfId="0" applyNumberFormat="1" applyFill="1" applyBorder="1"/>
    <xf numFmtId="3" fontId="0" fillId="0" borderId="26" xfId="0" applyNumberFormat="1" applyFill="1" applyBorder="1" applyProtection="1"/>
    <xf numFmtId="3" fontId="0" fillId="10" borderId="26" xfId="0" applyNumberFormat="1" applyFill="1" applyBorder="1"/>
    <xf numFmtId="1" fontId="0" fillId="0" borderId="28" xfId="0" applyNumberFormat="1" applyBorder="1"/>
    <xf numFmtId="3" fontId="0" fillId="0" borderId="68" xfId="0" applyNumberFormat="1" applyFill="1" applyBorder="1"/>
    <xf numFmtId="3" fontId="0" fillId="0" borderId="49" xfId="0" applyNumberFormat="1" applyFill="1" applyBorder="1"/>
    <xf numFmtId="3" fontId="0" fillId="0" borderId="47" xfId="0" applyNumberFormat="1" applyFill="1" applyBorder="1"/>
    <xf numFmtId="3" fontId="0" fillId="0" borderId="28" xfId="0" applyNumberFormat="1" applyFill="1" applyBorder="1"/>
    <xf numFmtId="3" fontId="0" fillId="0" borderId="65" xfId="0" applyNumberFormat="1" applyFill="1" applyBorder="1"/>
    <xf numFmtId="3" fontId="0" fillId="0" borderId="28" xfId="0" applyNumberFormat="1" applyFill="1" applyBorder="1" applyProtection="1"/>
    <xf numFmtId="3" fontId="0" fillId="10" borderId="28" xfId="0" applyNumberFormat="1" applyFill="1" applyBorder="1"/>
    <xf numFmtId="1" fontId="0" fillId="0" borderId="32" xfId="0" applyNumberFormat="1" applyBorder="1"/>
    <xf numFmtId="3" fontId="0" fillId="0" borderId="61" xfId="0" applyNumberFormat="1" applyFill="1" applyBorder="1"/>
    <xf numFmtId="3" fontId="0" fillId="0" borderId="54" xfId="0" applyNumberFormat="1" applyFill="1" applyBorder="1"/>
    <xf numFmtId="3" fontId="0" fillId="0" borderId="48" xfId="0" applyNumberFormat="1" applyFill="1" applyBorder="1"/>
    <xf numFmtId="3" fontId="0" fillId="0" borderId="32" xfId="0" applyNumberFormat="1" applyFill="1" applyBorder="1"/>
    <xf numFmtId="3" fontId="0" fillId="0" borderId="64" xfId="0" applyNumberFormat="1" applyFill="1" applyBorder="1"/>
    <xf numFmtId="3" fontId="0" fillId="0" borderId="32" xfId="0" applyNumberFormat="1" applyFill="1" applyBorder="1" applyProtection="1"/>
    <xf numFmtId="3" fontId="0" fillId="10" borderId="32" xfId="0" applyNumberFormat="1" applyFill="1" applyBorder="1"/>
    <xf numFmtId="0" fontId="3" fillId="0" borderId="0" xfId="0" applyFont="1" applyBorder="1"/>
    <xf numFmtId="3" fontId="3" fillId="0" borderId="0" xfId="0" applyNumberFormat="1" applyFont="1" applyBorder="1"/>
    <xf numFmtId="3" fontId="0" fillId="0" borderId="0" xfId="0" applyNumberFormat="1" applyBorder="1"/>
    <xf numFmtId="0" fontId="3" fillId="0" borderId="69" xfId="0" applyFont="1" applyBorder="1"/>
    <xf numFmtId="0" fontId="3" fillId="0" borderId="9" xfId="0" applyFont="1" applyBorder="1"/>
    <xf numFmtId="3" fontId="3" fillId="2" borderId="36" xfId="0" applyNumberFormat="1" applyFont="1" applyFill="1" applyBorder="1" applyAlignment="1">
      <alignment horizontal="center" wrapText="1"/>
    </xf>
    <xf numFmtId="3" fontId="3" fillId="2" borderId="45" xfId="0" applyNumberFormat="1" applyFont="1" applyFill="1" applyBorder="1" applyAlignment="1">
      <alignment horizontal="center" wrapText="1"/>
    </xf>
    <xf numFmtId="3" fontId="3" fillId="2" borderId="43" xfId="0" applyNumberFormat="1" applyFont="1" applyFill="1" applyBorder="1" applyAlignment="1">
      <alignment horizontal="center" wrapText="1"/>
    </xf>
    <xf numFmtId="0" fontId="3" fillId="2" borderId="19" xfId="0" applyNumberFormat="1" applyFont="1" applyFill="1" applyBorder="1" applyAlignment="1">
      <alignment horizontal="center" wrapText="1"/>
    </xf>
    <xf numFmtId="0" fontId="3" fillId="2" borderId="44" xfId="0" applyNumberFormat="1" applyFont="1" applyFill="1" applyBorder="1" applyAlignment="1">
      <alignment horizontal="center" wrapText="1"/>
    </xf>
    <xf numFmtId="0" fontId="3" fillId="2" borderId="14" xfId="0" applyNumberFormat="1" applyFont="1" applyFill="1" applyBorder="1" applyAlignment="1">
      <alignment horizontal="center" wrapText="1"/>
    </xf>
    <xf numFmtId="3" fontId="3" fillId="2" borderId="13" xfId="0" applyNumberFormat="1" applyFont="1" applyFill="1" applyBorder="1" applyAlignment="1">
      <alignment horizontal="center" wrapText="1"/>
    </xf>
    <xf numFmtId="3" fontId="3" fillId="2" borderId="44" xfId="0" applyNumberFormat="1" applyFont="1" applyFill="1" applyBorder="1" applyAlignment="1">
      <alignment horizontal="center" wrapText="1"/>
    </xf>
    <xf numFmtId="3" fontId="3" fillId="2" borderId="14" xfId="0" applyNumberFormat="1" applyFont="1" applyFill="1" applyBorder="1" applyAlignment="1">
      <alignment horizontal="center" wrapText="1"/>
    </xf>
    <xf numFmtId="0" fontId="0" fillId="2" borderId="19" xfId="0" applyFill="1" applyBorder="1" applyAlignment="1">
      <alignment horizontal="center" wrapText="1"/>
    </xf>
    <xf numFmtId="0" fontId="0" fillId="2" borderId="44" xfId="0" applyNumberFormat="1" applyFill="1" applyBorder="1" applyAlignment="1">
      <alignment horizontal="center" wrapText="1"/>
    </xf>
    <xf numFmtId="0" fontId="0" fillId="2" borderId="14" xfId="0" applyNumberFormat="1" applyFill="1" applyBorder="1" applyAlignment="1">
      <alignment horizontal="center" wrapText="1"/>
    </xf>
    <xf numFmtId="0" fontId="0" fillId="2" borderId="19" xfId="0" applyNumberFormat="1" applyFill="1" applyBorder="1" applyAlignment="1">
      <alignment horizontal="center" wrapText="1"/>
    </xf>
    <xf numFmtId="0" fontId="0" fillId="0" borderId="9" xfId="0" applyNumberFormat="1" applyFill="1" applyBorder="1" applyAlignment="1">
      <alignment horizontal="center" wrapText="1"/>
    </xf>
    <xf numFmtId="0" fontId="0" fillId="0" borderId="1" xfId="0" applyBorder="1"/>
    <xf numFmtId="3" fontId="0" fillId="0" borderId="19" xfId="0" applyNumberFormat="1" applyBorder="1"/>
    <xf numFmtId="3" fontId="0" fillId="0" borderId="44" xfId="0" applyNumberFormat="1" applyBorder="1"/>
    <xf numFmtId="3" fontId="0" fillId="0" borderId="14" xfId="0" applyNumberFormat="1" applyBorder="1"/>
    <xf numFmtId="0" fontId="0" fillId="0" borderId="13" xfId="0" applyBorder="1"/>
    <xf numFmtId="0" fontId="0" fillId="0" borderId="44" xfId="0" applyBorder="1"/>
    <xf numFmtId="0" fontId="0" fillId="0" borderId="9" xfId="0" applyBorder="1"/>
    <xf numFmtId="0" fontId="0" fillId="0" borderId="36" xfId="0" applyBorder="1"/>
    <xf numFmtId="0" fontId="0" fillId="0" borderId="45" xfId="0" applyBorder="1"/>
    <xf numFmtId="0" fontId="0" fillId="0" borderId="21" xfId="0" applyBorder="1"/>
    <xf numFmtId="3" fontId="0" fillId="0" borderId="13" xfId="0" applyNumberFormat="1" applyBorder="1"/>
    <xf numFmtId="0" fontId="5" fillId="0" borderId="56" xfId="0" applyFont="1" applyBorder="1" applyAlignment="1">
      <alignment horizontal="center"/>
    </xf>
    <xf numFmtId="3" fontId="5" fillId="11" borderId="6" xfId="0" applyNumberFormat="1" applyFont="1" applyFill="1" applyBorder="1" applyAlignment="1">
      <alignment horizontal="right"/>
    </xf>
    <xf numFmtId="3" fontId="0" fillId="11" borderId="60" xfId="0" applyNumberFormat="1" applyFill="1" applyBorder="1"/>
    <xf numFmtId="3" fontId="0" fillId="11" borderId="7" xfId="0" applyNumberFormat="1" applyFill="1" applyBorder="1"/>
    <xf numFmtId="3" fontId="0" fillId="11" borderId="6" xfId="0" applyNumberFormat="1" applyFill="1" applyBorder="1"/>
    <xf numFmtId="3" fontId="0" fillId="5" borderId="6" xfId="0" applyNumberFormat="1" applyFill="1" applyBorder="1"/>
    <xf numFmtId="3" fontId="0" fillId="5" borderId="60" xfId="0" applyNumberFormat="1" applyFill="1" applyBorder="1"/>
    <xf numFmtId="3" fontId="0" fillId="5" borderId="7" xfId="0" applyNumberFormat="1" applyFill="1" applyBorder="1"/>
    <xf numFmtId="3" fontId="0" fillId="5" borderId="59" xfId="0" applyNumberFormat="1" applyFill="1" applyBorder="1"/>
    <xf numFmtId="0" fontId="5" fillId="0" borderId="27" xfId="0" applyFont="1" applyBorder="1" applyAlignment="1">
      <alignment horizontal="center"/>
    </xf>
    <xf numFmtId="3" fontId="5" fillId="11" borderId="29" xfId="0" applyNumberFormat="1" applyFont="1" applyFill="1" applyBorder="1" applyAlignment="1">
      <alignment horizontal="right"/>
    </xf>
    <xf numFmtId="3" fontId="0" fillId="11" borderId="49" xfId="0" applyNumberFormat="1" applyFill="1" applyBorder="1"/>
    <xf numFmtId="3" fontId="0" fillId="11" borderId="30" xfId="0" applyNumberFormat="1" applyFill="1" applyBorder="1"/>
    <xf numFmtId="3" fontId="0" fillId="11" borderId="29" xfId="0" applyNumberFormat="1" applyFill="1" applyBorder="1"/>
    <xf numFmtId="3" fontId="0" fillId="5" borderId="29" xfId="0" applyNumberFormat="1" applyFill="1" applyBorder="1"/>
    <xf numFmtId="3" fontId="0" fillId="5" borderId="49" xfId="0" applyNumberFormat="1" applyFill="1" applyBorder="1"/>
    <xf numFmtId="3" fontId="0" fillId="5" borderId="30" xfId="0" applyNumberFormat="1" applyFill="1" applyBorder="1"/>
    <xf numFmtId="3" fontId="0" fillId="5" borderId="68" xfId="0" applyNumberFormat="1" applyFill="1" applyBorder="1"/>
    <xf numFmtId="0" fontId="5" fillId="0" borderId="35" xfId="0" applyFont="1" applyBorder="1" applyAlignment="1">
      <alignment horizontal="center"/>
    </xf>
    <xf numFmtId="3" fontId="5" fillId="11" borderId="33" xfId="0" applyNumberFormat="1" applyFont="1" applyFill="1" applyBorder="1" applyAlignment="1">
      <alignment horizontal="right"/>
    </xf>
    <xf numFmtId="3" fontId="0" fillId="11" borderId="54" xfId="0" applyNumberFormat="1" applyFill="1" applyBorder="1"/>
    <xf numFmtId="3" fontId="0" fillId="11" borderId="34" xfId="0" applyNumberFormat="1" applyFill="1" applyBorder="1"/>
    <xf numFmtId="3" fontId="0" fillId="11" borderId="33" xfId="0" applyNumberFormat="1" applyFill="1" applyBorder="1"/>
    <xf numFmtId="3" fontId="0" fillId="5" borderId="33" xfId="0" applyNumberFormat="1" applyFill="1" applyBorder="1"/>
    <xf numFmtId="3" fontId="0" fillId="5" borderId="54" xfId="0" applyNumberFormat="1" applyFill="1" applyBorder="1"/>
    <xf numFmtId="3" fontId="0" fillId="5" borderId="34" xfId="0" applyNumberFormat="1" applyFill="1" applyBorder="1"/>
    <xf numFmtId="3" fontId="0" fillId="5" borderId="61" xfId="0" applyNumberFormat="1" applyFill="1" applyBorder="1"/>
    <xf numFmtId="0" fontId="0" fillId="0" borderId="0" xfId="0" applyBorder="1" applyAlignment="1">
      <alignment horizontal="center"/>
    </xf>
    <xf numFmtId="0" fontId="5" fillId="0" borderId="0" xfId="0" applyFont="1" applyBorder="1" applyAlignment="1">
      <alignment horizontal="center"/>
    </xf>
    <xf numFmtId="3" fontId="3" fillId="0" borderId="12" xfId="0" applyNumberFormat="1" applyFont="1" applyBorder="1"/>
    <xf numFmtId="3" fontId="18" fillId="0" borderId="0" xfId="0" applyNumberFormat="1" applyFont="1" applyBorder="1"/>
    <xf numFmtId="3" fontId="6" fillId="0" borderId="0" xfId="0" applyNumberFormat="1" applyFont="1" applyBorder="1"/>
    <xf numFmtId="3" fontId="5" fillId="0" borderId="0" xfId="0" applyNumberFormat="1" applyFont="1" applyBorder="1"/>
    <xf numFmtId="3" fontId="3" fillId="2" borderId="38" xfId="0" applyNumberFormat="1" applyFont="1" applyFill="1" applyBorder="1"/>
    <xf numFmtId="3" fontId="3" fillId="2" borderId="6" xfId="0" applyNumberFormat="1" applyFont="1" applyFill="1" applyBorder="1"/>
    <xf numFmtId="0" fontId="5" fillId="2" borderId="60" xfId="0" applyFont="1" applyFill="1" applyBorder="1" applyAlignment="1">
      <alignment horizontal="center"/>
    </xf>
    <xf numFmtId="3" fontId="3" fillId="2" borderId="60" xfId="0" applyNumberFormat="1" applyFont="1" applyFill="1" applyBorder="1"/>
    <xf numFmtId="0" fontId="3" fillId="2" borderId="60" xfId="0" applyFont="1" applyFill="1" applyBorder="1" applyAlignment="1">
      <alignment horizontal="center"/>
    </xf>
    <xf numFmtId="0" fontId="5" fillId="2" borderId="7" xfId="0" applyFont="1" applyFill="1" applyBorder="1" applyAlignment="1">
      <alignment horizontal="center"/>
    </xf>
    <xf numFmtId="3" fontId="0" fillId="0" borderId="0" xfId="0" applyNumberFormat="1" applyFill="1" applyBorder="1"/>
    <xf numFmtId="0" fontId="5" fillId="0" borderId="0" xfId="0" applyFont="1" applyFill="1" applyBorder="1" applyAlignment="1">
      <alignment horizontal="center"/>
    </xf>
    <xf numFmtId="3" fontId="3" fillId="2" borderId="29" xfId="0" applyNumberFormat="1" applyFont="1" applyFill="1" applyBorder="1"/>
    <xf numFmtId="0" fontId="5" fillId="2" borderId="49" xfId="0" applyFont="1" applyFill="1" applyBorder="1" applyAlignment="1">
      <alignment horizontal="center"/>
    </xf>
    <xf numFmtId="3" fontId="3" fillId="2" borderId="49" xfId="0" applyNumberFormat="1" applyFont="1" applyFill="1" applyBorder="1"/>
    <xf numFmtId="0" fontId="3" fillId="2" borderId="49" xfId="0" applyFont="1" applyFill="1" applyBorder="1" applyAlignment="1">
      <alignment horizontal="center"/>
    </xf>
    <xf numFmtId="0" fontId="5" fillId="2" borderId="30" xfId="0" applyFont="1" applyFill="1" applyBorder="1" applyAlignment="1">
      <alignment horizontal="center"/>
    </xf>
    <xf numFmtId="3" fontId="3" fillId="2" borderId="33" xfId="0" applyNumberFormat="1" applyFont="1" applyFill="1" applyBorder="1"/>
    <xf numFmtId="0" fontId="5" fillId="2" borderId="54" xfId="0" applyFont="1" applyFill="1" applyBorder="1" applyAlignment="1">
      <alignment horizontal="center"/>
    </xf>
    <xf numFmtId="3" fontId="3" fillId="2" borderId="54" xfId="0" applyNumberFormat="1" applyFont="1" applyFill="1" applyBorder="1"/>
    <xf numFmtId="0" fontId="5" fillId="2" borderId="34" xfId="0" applyFont="1" applyFill="1" applyBorder="1" applyAlignment="1">
      <alignment horizontal="center"/>
    </xf>
    <xf numFmtId="0" fontId="0" fillId="0" borderId="0" xfId="0" applyFill="1" applyBorder="1"/>
    <xf numFmtId="0" fontId="16" fillId="0" borderId="0" xfId="0" applyFont="1" applyFill="1" applyBorder="1"/>
    <xf numFmtId="0" fontId="3" fillId="2" borderId="1" xfId="0" applyNumberFormat="1" applyFont="1" applyFill="1" applyBorder="1" applyAlignment="1">
      <alignment horizontal="center" wrapText="1"/>
    </xf>
    <xf numFmtId="0" fontId="3" fillId="2" borderId="66" xfId="0" applyNumberFormat="1" applyFont="1" applyFill="1" applyBorder="1" applyAlignment="1">
      <alignment horizontal="center" wrapText="1"/>
    </xf>
    <xf numFmtId="0" fontId="3" fillId="2" borderId="12" xfId="0" applyNumberFormat="1" applyFont="1" applyFill="1" applyBorder="1" applyAlignment="1">
      <alignment horizontal="center" wrapText="1"/>
    </xf>
    <xf numFmtId="0" fontId="3" fillId="2" borderId="13" xfId="0" applyNumberFormat="1" applyFont="1" applyFill="1" applyBorder="1" applyAlignment="1">
      <alignment horizontal="center" wrapText="1"/>
    </xf>
    <xf numFmtId="3" fontId="3" fillId="2" borderId="19" xfId="0" applyNumberFormat="1" applyFont="1" applyFill="1" applyBorder="1" applyAlignment="1">
      <alignment horizontal="center" wrapText="1"/>
    </xf>
    <xf numFmtId="0" fontId="3" fillId="2" borderId="3" xfId="0" applyNumberFormat="1" applyFont="1" applyFill="1" applyBorder="1" applyAlignment="1">
      <alignment horizontal="center" wrapText="1"/>
    </xf>
    <xf numFmtId="0" fontId="0" fillId="0" borderId="0" xfId="0" applyNumberFormat="1" applyBorder="1" applyAlignment="1">
      <alignment horizontal="center" wrapText="1"/>
    </xf>
    <xf numFmtId="0" fontId="5" fillId="2" borderId="1" xfId="0" applyNumberFormat="1" applyFont="1" applyFill="1" applyBorder="1" applyAlignment="1">
      <alignment horizontal="center" wrapText="1"/>
    </xf>
    <xf numFmtId="0" fontId="0" fillId="2" borderId="66" xfId="0" applyNumberFormat="1" applyFill="1" applyBorder="1" applyAlignment="1">
      <alignment horizontal="center" wrapText="1"/>
    </xf>
    <xf numFmtId="0" fontId="0" fillId="2" borderId="12" xfId="0" applyNumberFormat="1" applyFill="1" applyBorder="1" applyAlignment="1">
      <alignment horizontal="center" wrapText="1"/>
    </xf>
    <xf numFmtId="0" fontId="0" fillId="2" borderId="13" xfId="0" applyNumberFormat="1" applyFill="1" applyBorder="1" applyAlignment="1">
      <alignment horizontal="center" wrapText="1"/>
    </xf>
    <xf numFmtId="3" fontId="0" fillId="2" borderId="19" xfId="0" applyNumberFormat="1" applyFill="1" applyBorder="1" applyAlignment="1">
      <alignment horizontal="center" wrapText="1"/>
    </xf>
    <xf numFmtId="3" fontId="0" fillId="0" borderId="56" xfId="0" applyNumberFormat="1" applyBorder="1"/>
    <xf numFmtId="3" fontId="0" fillId="0" borderId="23" xfId="0" applyNumberFormat="1" applyBorder="1"/>
    <xf numFmtId="3" fontId="0" fillId="0" borderId="57" xfId="0" applyNumberFormat="1" applyBorder="1"/>
    <xf numFmtId="3" fontId="0" fillId="0" borderId="46" xfId="0" applyNumberFormat="1" applyBorder="1"/>
    <xf numFmtId="3" fontId="0" fillId="0" borderId="26" xfId="0" applyNumberFormat="1" applyBorder="1"/>
    <xf numFmtId="3" fontId="0" fillId="0" borderId="67" xfId="0" applyNumberFormat="1" applyBorder="1"/>
    <xf numFmtId="0" fontId="0" fillId="0" borderId="57" xfId="0" applyBorder="1"/>
    <xf numFmtId="0" fontId="0" fillId="0" borderId="70" xfId="0" applyBorder="1"/>
    <xf numFmtId="0" fontId="0" fillId="0" borderId="24" xfId="0" applyBorder="1"/>
    <xf numFmtId="3" fontId="0" fillId="0" borderId="27" xfId="0" applyNumberFormat="1" applyBorder="1"/>
    <xf numFmtId="3" fontId="0" fillId="0" borderId="29" xfId="0" applyNumberFormat="1" applyBorder="1"/>
    <xf numFmtId="3" fontId="0" fillId="0" borderId="49" xfId="0" applyNumberFormat="1" applyBorder="1"/>
    <xf numFmtId="3" fontId="0" fillId="0" borderId="47" xfId="0" applyNumberFormat="1" applyBorder="1"/>
    <xf numFmtId="3" fontId="0" fillId="0" borderId="28" xfId="0" applyNumberFormat="1" applyBorder="1"/>
    <xf numFmtId="3" fontId="0" fillId="0" borderId="68" xfId="0" applyNumberFormat="1" applyBorder="1"/>
    <xf numFmtId="3" fontId="0" fillId="0" borderId="35" xfId="0" applyNumberFormat="1" applyBorder="1"/>
    <xf numFmtId="3" fontId="0" fillId="0" borderId="33" xfId="0" applyNumberFormat="1" applyBorder="1"/>
    <xf numFmtId="3" fontId="0" fillId="0" borderId="54" xfId="0" applyNumberFormat="1" applyBorder="1"/>
    <xf numFmtId="3" fontId="0" fillId="0" borderId="48" xfId="0" applyNumberFormat="1" applyBorder="1"/>
    <xf numFmtId="3" fontId="0" fillId="0" borderId="32" xfId="0" applyNumberFormat="1" applyBorder="1"/>
    <xf numFmtId="3" fontId="0" fillId="0" borderId="61" xfId="0" applyNumberFormat="1" applyBorder="1"/>
    <xf numFmtId="0" fontId="19" fillId="2" borderId="0" xfId="0" applyFont="1" applyFill="1"/>
    <xf numFmtId="0" fontId="6" fillId="2" borderId="0" xfId="0" applyFont="1" applyFill="1"/>
    <xf numFmtId="0" fontId="7" fillId="2" borderId="0" xfId="0" applyFont="1" applyFill="1"/>
    <xf numFmtId="0" fontId="19" fillId="0" borderId="0" xfId="0" applyFont="1" applyAlignment="1">
      <alignment horizontal="left"/>
    </xf>
    <xf numFmtId="0" fontId="7" fillId="0" borderId="0" xfId="0" applyFont="1" applyAlignment="1">
      <alignment wrapText="1"/>
    </xf>
    <xf numFmtId="0" fontId="7" fillId="5" borderId="12" xfId="0" applyFont="1" applyFill="1" applyBorder="1" applyAlignment="1">
      <alignment wrapText="1"/>
    </xf>
    <xf numFmtId="0" fontId="7" fillId="0" borderId="19" xfId="0" applyFont="1" applyBorder="1"/>
    <xf numFmtId="0" fontId="7" fillId="0" borderId="44" xfId="0" applyFont="1" applyBorder="1"/>
    <xf numFmtId="0" fontId="7" fillId="0" borderId="14" xfId="0" applyFont="1" applyBorder="1"/>
    <xf numFmtId="0" fontId="7" fillId="5" borderId="4" xfId="0" applyFont="1" applyFill="1" applyBorder="1"/>
    <xf numFmtId="0" fontId="7" fillId="5" borderId="37" xfId="0" applyFont="1" applyFill="1" applyBorder="1"/>
    <xf numFmtId="0" fontId="3" fillId="0" borderId="0" xfId="0" applyFont="1" applyFill="1" applyBorder="1" applyAlignment="1">
      <alignment horizontal="center"/>
    </xf>
    <xf numFmtId="0" fontId="7" fillId="5" borderId="53" xfId="0" applyFont="1" applyFill="1" applyBorder="1" applyAlignment="1" applyProtection="1">
      <alignment wrapText="1"/>
      <protection locked="0"/>
    </xf>
    <xf numFmtId="0" fontId="7" fillId="0" borderId="9" xfId="0" applyFont="1" applyBorder="1" applyProtection="1">
      <protection locked="0"/>
    </xf>
    <xf numFmtId="0" fontId="7" fillId="5" borderId="8" xfId="0" applyFont="1" applyFill="1" applyBorder="1"/>
    <xf numFmtId="0" fontId="7" fillId="5" borderId="0" xfId="0" applyFont="1" applyFill="1" applyBorder="1"/>
    <xf numFmtId="0" fontId="3" fillId="5" borderId="19" xfId="0" applyFont="1" applyFill="1" applyBorder="1" applyAlignment="1">
      <alignment horizontal="center" vertical="top" wrapText="1"/>
    </xf>
    <xf numFmtId="0" fontId="3" fillId="5" borderId="14" xfId="0" applyFont="1" applyFill="1" applyBorder="1" applyAlignment="1">
      <alignment horizontal="center" wrapText="1"/>
    </xf>
    <xf numFmtId="0" fontId="3" fillId="5" borderId="13"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5" borderId="1" xfId="0" applyFont="1" applyFill="1" applyBorder="1" applyAlignment="1">
      <alignment vertical="top"/>
    </xf>
    <xf numFmtId="0" fontId="7" fillId="0" borderId="0" xfId="0" applyFont="1" applyAlignment="1">
      <alignment vertical="top"/>
    </xf>
    <xf numFmtId="0" fontId="3" fillId="5" borderId="19" xfId="0" applyFont="1" applyFill="1" applyBorder="1" applyAlignment="1">
      <alignment horizontal="center" wrapText="1"/>
    </xf>
    <xf numFmtId="0" fontId="3" fillId="5" borderId="44" xfId="0" applyFont="1" applyFill="1" applyBorder="1" applyAlignment="1">
      <alignment horizontal="center" wrapText="1"/>
    </xf>
    <xf numFmtId="0" fontId="3" fillId="5" borderId="7" xfId="0" applyFont="1" applyFill="1" applyBorder="1" applyAlignment="1">
      <alignment vertical="top" wrapText="1"/>
    </xf>
    <xf numFmtId="0" fontId="7" fillId="0" borderId="6" xfId="0" applyFont="1" applyBorder="1" applyAlignment="1">
      <alignment horizontal="center" vertical="top" wrapText="1"/>
    </xf>
    <xf numFmtId="49" fontId="7" fillId="0" borderId="7" xfId="0" applyNumberFormat="1" applyFont="1" applyBorder="1" applyAlignment="1">
      <alignment horizontal="center" vertical="top" wrapText="1"/>
    </xf>
    <xf numFmtId="0" fontId="7" fillId="0" borderId="59" xfId="0" applyFont="1" applyBorder="1" applyAlignment="1">
      <alignment horizontal="center" vertical="top" wrapText="1"/>
    </xf>
    <xf numFmtId="49" fontId="7" fillId="0" borderId="52" xfId="0" quotePrefix="1" applyNumberFormat="1" applyFont="1" applyBorder="1" applyAlignment="1">
      <alignment horizontal="center" vertical="top" wrapText="1"/>
    </xf>
    <xf numFmtId="0" fontId="7" fillId="0" borderId="0" xfId="0" applyFont="1" applyFill="1" applyBorder="1" applyAlignment="1">
      <alignment horizontal="center" vertical="top" wrapText="1"/>
    </xf>
    <xf numFmtId="0" fontId="3" fillId="5" borderId="56" xfId="0" applyFont="1" applyFill="1" applyBorder="1" applyAlignment="1">
      <alignment vertical="top" wrapText="1"/>
    </xf>
    <xf numFmtId="0" fontId="7" fillId="0" borderId="23" xfId="0" applyFont="1" applyBorder="1" applyAlignment="1">
      <alignment horizontal="center" vertical="top"/>
    </xf>
    <xf numFmtId="49" fontId="7" fillId="0" borderId="24" xfId="0" applyNumberFormat="1" applyFont="1" applyBorder="1" applyAlignment="1">
      <alignment horizontal="center" vertical="top"/>
    </xf>
    <xf numFmtId="0" fontId="3" fillId="5" borderId="26" xfId="0" applyFont="1" applyFill="1" applyBorder="1" applyAlignment="1">
      <alignment vertical="top" wrapText="1"/>
    </xf>
    <xf numFmtId="164" fontId="0" fillId="0" borderId="23" xfId="0" applyNumberFormat="1" applyBorder="1" applyAlignment="1">
      <alignment vertical="top"/>
    </xf>
    <xf numFmtId="164" fontId="0" fillId="0" borderId="57" xfId="0" applyNumberFormat="1" applyBorder="1" applyAlignment="1">
      <alignment vertical="top"/>
    </xf>
    <xf numFmtId="2" fontId="0" fillId="0" borderId="6" xfId="0" applyNumberFormat="1" applyBorder="1" applyAlignment="1">
      <alignment vertical="top"/>
    </xf>
    <xf numFmtId="2" fontId="7" fillId="0" borderId="7" xfId="0" applyNumberFormat="1" applyFont="1" applyBorder="1" applyAlignment="1">
      <alignment vertical="top"/>
    </xf>
    <xf numFmtId="2" fontId="7" fillId="0" borderId="26" xfId="0" applyNumberFormat="1" applyFont="1" applyBorder="1" applyAlignment="1">
      <alignment vertical="top"/>
    </xf>
    <xf numFmtId="0" fontId="3" fillId="5" borderId="30" xfId="0" applyFont="1" applyFill="1" applyBorder="1" applyAlignment="1">
      <alignment vertical="top" wrapText="1"/>
    </xf>
    <xf numFmtId="0" fontId="7" fillId="0" borderId="29" xfId="0" applyFont="1" applyBorder="1" applyAlignment="1">
      <alignment horizontal="center" vertical="top" wrapText="1"/>
    </xf>
    <xf numFmtId="49" fontId="7" fillId="0" borderId="30" xfId="0" applyNumberFormat="1" applyFont="1" applyBorder="1" applyAlignment="1">
      <alignment horizontal="center" vertical="top" wrapText="1"/>
    </xf>
    <xf numFmtId="0" fontId="7" fillId="0" borderId="68" xfId="0" applyFont="1" applyBorder="1" applyAlignment="1">
      <alignment horizontal="center" vertical="top" wrapText="1"/>
    </xf>
    <xf numFmtId="49" fontId="7" fillId="0" borderId="65" xfId="0" applyNumberFormat="1" applyFont="1" applyBorder="1" applyAlignment="1">
      <alignment horizontal="center" vertical="top" wrapText="1"/>
    </xf>
    <xf numFmtId="0" fontId="3" fillId="5" borderId="27" xfId="0" applyFont="1" applyFill="1" applyBorder="1" applyAlignment="1">
      <alignment vertical="top" wrapText="1"/>
    </xf>
    <xf numFmtId="0" fontId="7" fillId="0" borderId="29" xfId="0" applyFont="1" applyBorder="1" applyAlignment="1">
      <alignment horizontal="center" vertical="top"/>
    </xf>
    <xf numFmtId="49" fontId="7" fillId="0" borderId="30" xfId="0" applyNumberFormat="1" applyFont="1" applyBorder="1" applyAlignment="1">
      <alignment horizontal="center" vertical="top"/>
    </xf>
    <xf numFmtId="0" fontId="3" fillId="5" borderId="28" xfId="0" applyFont="1" applyFill="1" applyBorder="1" applyAlignment="1">
      <alignment vertical="top" wrapText="1"/>
    </xf>
    <xf numFmtId="164" fontId="0" fillId="0" borderId="29" xfId="0" applyNumberFormat="1" applyBorder="1" applyAlignment="1">
      <alignment vertical="top"/>
    </xf>
    <xf numFmtId="164" fontId="0" fillId="0" borderId="49" xfId="0" applyNumberFormat="1" applyBorder="1" applyAlignment="1">
      <alignment vertical="top"/>
    </xf>
    <xf numFmtId="2" fontId="0" fillId="0" borderId="29" xfId="0" applyNumberFormat="1" applyBorder="1" applyAlignment="1">
      <alignment vertical="top"/>
    </xf>
    <xf numFmtId="2" fontId="7" fillId="0" borderId="30" xfId="0" applyNumberFormat="1" applyFont="1" applyBorder="1" applyAlignment="1">
      <alignment vertical="top"/>
    </xf>
    <xf numFmtId="2" fontId="7" fillId="0" borderId="28" xfId="0" applyNumberFormat="1" applyFont="1" applyBorder="1" applyAlignment="1">
      <alignment vertical="top"/>
    </xf>
    <xf numFmtId="0" fontId="3" fillId="5" borderId="29" xfId="0" applyFont="1" applyFill="1" applyBorder="1" applyAlignment="1">
      <alignment vertical="top" wrapText="1"/>
    </xf>
    <xf numFmtId="0" fontId="7" fillId="0" borderId="23" xfId="0" applyFont="1" applyBorder="1" applyAlignment="1">
      <alignment horizontal="center" vertical="top" wrapText="1"/>
    </xf>
    <xf numFmtId="49" fontId="7" fillId="0" borderId="24" xfId="0" applyNumberFormat="1" applyFont="1" applyBorder="1" applyAlignment="1">
      <alignment horizontal="center" vertical="top" wrapText="1"/>
    </xf>
    <xf numFmtId="0" fontId="7" fillId="0" borderId="67" xfId="0" applyFont="1" applyBorder="1" applyAlignment="1">
      <alignment horizontal="center" vertical="top" wrapText="1"/>
    </xf>
    <xf numFmtId="49" fontId="7" fillId="0" borderId="58" xfId="0" applyNumberFormat="1" applyFont="1" applyBorder="1" applyAlignment="1">
      <alignment horizontal="center" vertical="top" wrapText="1"/>
    </xf>
    <xf numFmtId="0" fontId="3" fillId="5" borderId="33" xfId="0" applyFont="1" applyFill="1" applyBorder="1" applyAlignment="1">
      <alignment vertical="top" wrapText="1"/>
    </xf>
    <xf numFmtId="0" fontId="3" fillId="5" borderId="34" xfId="0" applyFont="1" applyFill="1" applyBorder="1" applyAlignment="1">
      <alignment vertical="top" wrapText="1"/>
    </xf>
    <xf numFmtId="0" fontId="7" fillId="0" borderId="16" xfId="0" applyFont="1" applyBorder="1" applyAlignment="1">
      <alignment horizontal="center" vertical="top" wrapText="1"/>
    </xf>
    <xf numFmtId="49" fontId="7" fillId="0" borderId="17" xfId="0" applyNumberFormat="1" applyFont="1" applyBorder="1" applyAlignment="1">
      <alignment horizontal="center" vertical="top" wrapText="1"/>
    </xf>
    <xf numFmtId="0" fontId="7" fillId="0" borderId="18" xfId="0" applyFont="1" applyBorder="1" applyAlignment="1">
      <alignment horizontal="center" vertical="top" wrapText="1"/>
    </xf>
    <xf numFmtId="2" fontId="0" fillId="0" borderId="30" xfId="0" applyNumberFormat="1" applyBorder="1" applyAlignment="1">
      <alignment vertical="top"/>
    </xf>
    <xf numFmtId="0" fontId="3" fillId="5" borderId="19" xfId="0" applyFont="1" applyFill="1" applyBorder="1" applyAlignment="1">
      <alignment vertical="top" wrapText="1"/>
    </xf>
    <xf numFmtId="0" fontId="3" fillId="5" borderId="14" xfId="0" applyFont="1" applyFill="1" applyBorder="1" applyAlignment="1">
      <alignment vertical="top" wrapText="1"/>
    </xf>
    <xf numFmtId="0" fontId="7" fillId="0" borderId="19" xfId="0" applyFont="1" applyBorder="1" applyAlignment="1">
      <alignment horizontal="center" vertical="top" wrapText="1"/>
    </xf>
    <xf numFmtId="49" fontId="7" fillId="0" borderId="14" xfId="0" applyNumberFormat="1" applyFont="1" applyBorder="1" applyAlignment="1">
      <alignment horizontal="center" vertical="top" wrapText="1"/>
    </xf>
    <xf numFmtId="0" fontId="7" fillId="0" borderId="13" xfId="0" applyFont="1" applyBorder="1" applyAlignment="1">
      <alignment horizontal="center" vertical="top" wrapText="1"/>
    </xf>
    <xf numFmtId="49" fontId="7" fillId="0" borderId="3" xfId="0" applyNumberFormat="1" applyFont="1" applyBorder="1" applyAlignment="1">
      <alignment horizontal="center" vertical="top" wrapText="1"/>
    </xf>
    <xf numFmtId="0" fontId="7" fillId="0" borderId="0" xfId="0" applyFont="1" applyBorder="1"/>
    <xf numFmtId="0" fontId="3" fillId="5" borderId="62" xfId="0" applyFont="1" applyFill="1" applyBorder="1" applyAlignment="1">
      <alignment vertical="top" wrapText="1"/>
    </xf>
    <xf numFmtId="0" fontId="7" fillId="0" borderId="10" xfId="0" applyFont="1" applyBorder="1" applyAlignment="1">
      <alignment horizontal="center" vertical="top"/>
    </xf>
    <xf numFmtId="49" fontId="7" fillId="0" borderId="11" xfId="0" applyNumberFormat="1" applyFont="1" applyBorder="1" applyAlignment="1">
      <alignment horizontal="center" vertical="top"/>
    </xf>
    <xf numFmtId="0" fontId="0" fillId="0" borderId="49" xfId="0" applyBorder="1" applyAlignment="1">
      <alignment vertical="top"/>
    </xf>
    <xf numFmtId="0" fontId="20" fillId="0" borderId="0" xfId="0" applyFont="1" applyFill="1" applyBorder="1"/>
    <xf numFmtId="0" fontId="3" fillId="5" borderId="4" xfId="0" applyFont="1" applyFill="1" applyBorder="1"/>
    <xf numFmtId="0" fontId="3" fillId="5" borderId="37" xfId="0" applyFont="1" applyFill="1" applyBorder="1"/>
    <xf numFmtId="0" fontId="3" fillId="5" borderId="5" xfId="0" applyFont="1" applyFill="1" applyBorder="1"/>
    <xf numFmtId="0" fontId="3" fillId="5" borderId="12" xfId="0" applyFont="1" applyFill="1" applyBorder="1" applyAlignment="1" applyProtection="1">
      <alignment horizontal="center" vertical="top" wrapText="1"/>
      <protection locked="0"/>
    </xf>
    <xf numFmtId="0" fontId="3" fillId="5" borderId="4" xfId="0" applyFont="1" applyFill="1" applyBorder="1" applyAlignment="1">
      <alignment vertical="top" wrapText="1"/>
    </xf>
    <xf numFmtId="0" fontId="7" fillId="0" borderId="36" xfId="0" applyFont="1" applyBorder="1" applyAlignment="1">
      <alignment horizontal="center" vertical="top"/>
    </xf>
    <xf numFmtId="49" fontId="7" fillId="0" borderId="21" xfId="0" applyNumberFormat="1" applyFont="1" applyBorder="1" applyAlignment="1">
      <alignment horizontal="center" vertical="top"/>
    </xf>
    <xf numFmtId="0" fontId="3" fillId="5" borderId="1" xfId="0" applyFont="1" applyFill="1" applyBorder="1" applyAlignment="1">
      <alignment horizontal="left" vertical="top" wrapText="1" indent="1"/>
    </xf>
    <xf numFmtId="0" fontId="7" fillId="0" borderId="6" xfId="0" applyFont="1" applyBorder="1"/>
    <xf numFmtId="0" fontId="7" fillId="0" borderId="60" xfId="0" applyFont="1" applyBorder="1"/>
    <xf numFmtId="0" fontId="7" fillId="0" borderId="7" xfId="0" applyFont="1" applyBorder="1"/>
    <xf numFmtId="0" fontId="7" fillId="0" borderId="12" xfId="0" applyFont="1" applyBorder="1" applyProtection="1">
      <protection locked="0"/>
    </xf>
    <xf numFmtId="0" fontId="3" fillId="5" borderId="35" xfId="0" applyFont="1" applyFill="1" applyBorder="1" applyAlignment="1">
      <alignment vertical="top" wrapText="1"/>
    </xf>
    <xf numFmtId="0" fontId="7" fillId="0" borderId="33" xfId="0" applyFont="1" applyBorder="1" applyAlignment="1">
      <alignment horizontal="center" vertical="top"/>
    </xf>
    <xf numFmtId="49" fontId="7" fillId="0" borderId="34" xfId="0" applyNumberFormat="1" applyFont="1" applyBorder="1" applyAlignment="1">
      <alignment horizontal="center" vertical="top"/>
    </xf>
    <xf numFmtId="0" fontId="7" fillId="0" borderId="29" xfId="0" applyFont="1" applyBorder="1"/>
    <xf numFmtId="0" fontId="7" fillId="0" borderId="49" xfId="0" applyFont="1" applyBorder="1"/>
    <xf numFmtId="0" fontId="7" fillId="0" borderId="30" xfId="0" applyFont="1" applyBorder="1"/>
    <xf numFmtId="0" fontId="3" fillId="5" borderId="12" xfId="0" applyFont="1" applyFill="1" applyBorder="1" applyAlignment="1" applyProtection="1">
      <alignment horizontal="center"/>
      <protection locked="0"/>
    </xf>
    <xf numFmtId="0" fontId="7" fillId="0" borderId="0" xfId="0" applyFont="1" applyFill="1" applyBorder="1"/>
    <xf numFmtId="0" fontId="7" fillId="0" borderId="33" xfId="0" applyFont="1" applyBorder="1"/>
    <xf numFmtId="0" fontId="7" fillId="0" borderId="54" xfId="0" applyFont="1" applyBorder="1"/>
    <xf numFmtId="0" fontId="7" fillId="0" borderId="34" xfId="0" applyFont="1" applyBorder="1"/>
    <xf numFmtId="164" fontId="0" fillId="0" borderId="33" xfId="0" applyNumberFormat="1" applyBorder="1" applyAlignment="1">
      <alignment vertical="top"/>
    </xf>
    <xf numFmtId="164" fontId="0" fillId="0" borderId="54" xfId="0" applyNumberFormat="1" applyBorder="1" applyAlignment="1">
      <alignment vertical="top"/>
    </xf>
    <xf numFmtId="2" fontId="0" fillId="0" borderId="33" xfId="0" applyNumberFormat="1" applyBorder="1" applyAlignment="1">
      <alignment vertical="top"/>
    </xf>
    <xf numFmtId="2" fontId="7" fillId="0" borderId="34" xfId="0" applyNumberFormat="1" applyFont="1" applyBorder="1" applyAlignment="1">
      <alignment vertical="top"/>
    </xf>
    <xf numFmtId="2" fontId="7" fillId="0" borderId="32" xfId="0" applyNumberFormat="1" applyFont="1" applyBorder="1" applyAlignment="1">
      <alignment vertical="top"/>
    </xf>
    <xf numFmtId="0" fontId="7" fillId="0" borderId="0" xfId="0" applyFont="1" applyFill="1" applyBorder="1" applyAlignment="1">
      <alignment vertical="top" wrapText="1"/>
    </xf>
    <xf numFmtId="164" fontId="7" fillId="0" borderId="0" xfId="0" applyNumberFormat="1" applyFont="1"/>
    <xf numFmtId="165" fontId="7" fillId="0" borderId="0" xfId="1" applyNumberFormat="1" applyFont="1"/>
    <xf numFmtId="0" fontId="20" fillId="0" borderId="0" xfId="0" applyFont="1"/>
    <xf numFmtId="2" fontId="7" fillId="0" borderId="44" xfId="0" applyNumberFormat="1" applyFont="1" applyBorder="1"/>
    <xf numFmtId="2" fontId="7" fillId="0" borderId="66" xfId="0" applyNumberFormat="1" applyFont="1" applyBorder="1"/>
    <xf numFmtId="2" fontId="7" fillId="0" borderId="12" xfId="0" applyNumberFormat="1" applyFont="1" applyBorder="1"/>
    <xf numFmtId="0" fontId="3" fillId="5" borderId="6" xfId="0" applyFont="1" applyFill="1" applyBorder="1"/>
    <xf numFmtId="0" fontId="7" fillId="3" borderId="29" xfId="0" applyFont="1" applyFill="1" applyBorder="1" applyAlignment="1">
      <alignment horizontal="center"/>
    </xf>
    <xf numFmtId="0" fontId="3" fillId="5" borderId="29" xfId="0" applyFont="1" applyFill="1" applyBorder="1" applyAlignment="1">
      <alignment vertical="center" wrapText="1"/>
    </xf>
    <xf numFmtId="0" fontId="7" fillId="3" borderId="33" xfId="0" applyFont="1" applyFill="1" applyBorder="1" applyAlignment="1">
      <alignment horizontal="center"/>
    </xf>
    <xf numFmtId="0" fontId="21" fillId="0" borderId="0" xfId="0" applyFont="1" applyBorder="1" applyProtection="1"/>
    <xf numFmtId="0" fontId="22" fillId="0" borderId="0" xfId="0" applyFont="1" applyBorder="1" applyProtection="1"/>
    <xf numFmtId="2" fontId="22" fillId="0" borderId="0" xfId="0" applyNumberFormat="1" applyFont="1" applyBorder="1" applyProtection="1"/>
    <xf numFmtId="3" fontId="22" fillId="0" borderId="0" xfId="0" applyNumberFormat="1" applyFont="1" applyBorder="1" applyProtection="1"/>
    <xf numFmtId="0" fontId="16" fillId="0" borderId="0" xfId="0" applyFont="1" applyFill="1"/>
    <xf numFmtId="0" fontId="6" fillId="0" borderId="0" xfId="0" applyFont="1" applyBorder="1" applyProtection="1"/>
    <xf numFmtId="0" fontId="3" fillId="0" borderId="0" xfId="0" applyFont="1" applyBorder="1" applyProtection="1"/>
    <xf numFmtId="2" fontId="3" fillId="0" borderId="0" xfId="0" applyNumberFormat="1" applyFont="1" applyBorder="1" applyProtection="1">
      <protection locked="0"/>
    </xf>
    <xf numFmtId="3" fontId="3" fillId="0" borderId="0" xfId="0" applyNumberFormat="1" applyFont="1" applyBorder="1" applyProtection="1"/>
    <xf numFmtId="0" fontId="3" fillId="0" borderId="0" xfId="0" applyFont="1" applyBorder="1" applyAlignment="1" applyProtection="1">
      <alignment wrapText="1"/>
    </xf>
    <xf numFmtId="0" fontId="0" fillId="0" borderId="0" xfId="0" applyBorder="1" applyAlignment="1" applyProtection="1">
      <alignment wrapText="1"/>
    </xf>
    <xf numFmtId="2" fontId="0" fillId="0" borderId="0" xfId="0" applyNumberFormat="1" applyBorder="1" applyAlignment="1" applyProtection="1">
      <alignment wrapText="1"/>
    </xf>
    <xf numFmtId="3" fontId="0" fillId="0" borderId="0" xfId="0" applyNumberFormat="1" applyBorder="1" applyAlignment="1" applyProtection="1">
      <alignment wrapText="1"/>
    </xf>
    <xf numFmtId="3" fontId="0" fillId="2" borderId="12" xfId="0" applyNumberFormat="1" applyFill="1" applyBorder="1" applyAlignment="1" applyProtection="1">
      <alignment horizontal="center" wrapText="1"/>
    </xf>
    <xf numFmtId="0" fontId="0" fillId="2" borderId="25" xfId="0" applyFill="1" applyBorder="1" applyAlignment="1" applyProtection="1">
      <alignment horizontal="left"/>
    </xf>
    <xf numFmtId="0" fontId="0" fillId="2" borderId="39" xfId="0" applyFill="1" applyBorder="1" applyAlignment="1" applyProtection="1">
      <alignment horizontal="left"/>
    </xf>
    <xf numFmtId="0" fontId="0" fillId="2" borderId="59" xfId="0" applyFill="1" applyBorder="1" applyAlignment="1" applyProtection="1">
      <alignment horizontal="left"/>
    </xf>
    <xf numFmtId="0" fontId="17" fillId="2" borderId="52" xfId="0" applyFont="1" applyFill="1" applyBorder="1" applyAlignment="1" applyProtection="1">
      <alignment horizontal="left"/>
    </xf>
    <xf numFmtId="0" fontId="5" fillId="0" borderId="38" xfId="0" applyFont="1" applyFill="1" applyBorder="1" applyAlignment="1">
      <alignment horizontal="center"/>
    </xf>
    <xf numFmtId="0" fontId="0" fillId="2" borderId="35" xfId="0" applyFill="1" applyBorder="1" applyAlignment="1" applyProtection="1">
      <alignment horizontal="left"/>
    </xf>
    <xf numFmtId="0" fontId="0" fillId="2" borderId="42" xfId="0" applyFill="1" applyBorder="1" applyAlignment="1" applyProtection="1">
      <alignment horizontal="left"/>
    </xf>
    <xf numFmtId="0" fontId="0" fillId="2" borderId="61" xfId="0" applyFill="1" applyBorder="1" applyAlignment="1" applyProtection="1">
      <alignment horizontal="left"/>
    </xf>
    <xf numFmtId="0" fontId="17" fillId="2" borderId="64" xfId="0" applyFont="1" applyFill="1" applyBorder="1" applyAlignment="1" applyProtection="1">
      <alignment horizontal="left"/>
    </xf>
    <xf numFmtId="167" fontId="0" fillId="0" borderId="32" xfId="0" applyNumberFormat="1" applyBorder="1" applyAlignment="1" applyProtection="1">
      <alignment horizontal="center"/>
    </xf>
    <xf numFmtId="167" fontId="0" fillId="0" borderId="22" xfId="0" applyNumberFormat="1" applyBorder="1" applyAlignment="1" applyProtection="1">
      <alignment horizontal="center"/>
    </xf>
    <xf numFmtId="3" fontId="0" fillId="0" borderId="0" xfId="0" applyNumberFormat="1" applyBorder="1" applyProtection="1"/>
    <xf numFmtId="0" fontId="0" fillId="2" borderId="56" xfId="0" applyFill="1" applyBorder="1" applyAlignment="1" applyProtection="1">
      <alignment horizontal="left"/>
    </xf>
    <xf numFmtId="0" fontId="0" fillId="2" borderId="40" xfId="0" applyFill="1" applyBorder="1" applyAlignment="1" applyProtection="1">
      <alignment horizontal="left"/>
    </xf>
    <xf numFmtId="0" fontId="0" fillId="2" borderId="67" xfId="0" applyFill="1" applyBorder="1" applyAlignment="1" applyProtection="1">
      <alignment horizontal="left"/>
    </xf>
    <xf numFmtId="0" fontId="17" fillId="2" borderId="58" xfId="0" applyFont="1" applyFill="1" applyBorder="1" applyAlignment="1" applyProtection="1">
      <alignment horizontal="left"/>
    </xf>
    <xf numFmtId="168" fontId="0" fillId="0" borderId="28" xfId="0" applyNumberFormat="1" applyBorder="1" applyAlignment="1" applyProtection="1">
      <alignment horizontal="center"/>
    </xf>
    <xf numFmtId="0" fontId="0" fillId="2" borderId="27" xfId="0" applyFill="1" applyBorder="1" applyAlignment="1" applyProtection="1">
      <alignment horizontal="left"/>
    </xf>
    <xf numFmtId="0" fontId="0" fillId="2" borderId="41" xfId="0" applyFill="1" applyBorder="1" applyAlignment="1" applyProtection="1">
      <alignment horizontal="left"/>
    </xf>
    <xf numFmtId="0" fontId="0" fillId="2" borderId="68" xfId="0" applyFill="1" applyBorder="1" applyAlignment="1" applyProtection="1">
      <alignment horizontal="left"/>
    </xf>
    <xf numFmtId="0" fontId="17" fillId="2" borderId="65" xfId="0" applyFont="1" applyFill="1" applyBorder="1" applyAlignment="1" applyProtection="1">
      <alignment horizontal="left"/>
    </xf>
    <xf numFmtId="2" fontId="0" fillId="0" borderId="28" xfId="0" applyNumberFormat="1" applyBorder="1" applyAlignment="1" applyProtection="1">
      <alignment horizontal="center"/>
    </xf>
    <xf numFmtId="0" fontId="0" fillId="2" borderId="62" xfId="0" applyFill="1" applyBorder="1" applyAlignment="1" applyProtection="1">
      <alignment horizontal="left"/>
    </xf>
    <xf numFmtId="0" fontId="0" fillId="2" borderId="71" xfId="0" applyFill="1" applyBorder="1" applyAlignment="1" applyProtection="1">
      <alignment horizontal="left"/>
    </xf>
    <xf numFmtId="0" fontId="0" fillId="2" borderId="72" xfId="0" applyFill="1" applyBorder="1" applyAlignment="1" applyProtection="1">
      <alignment horizontal="left"/>
    </xf>
    <xf numFmtId="0" fontId="17" fillId="2" borderId="73" xfId="0" applyFont="1" applyFill="1" applyBorder="1" applyAlignment="1" applyProtection="1">
      <alignment horizontal="left"/>
    </xf>
    <xf numFmtId="2" fontId="0" fillId="0" borderId="31" xfId="0" applyNumberFormat="1" applyBorder="1" applyAlignment="1" applyProtection="1">
      <alignment horizontal="center"/>
    </xf>
    <xf numFmtId="0" fontId="0" fillId="0" borderId="0" xfId="0" applyBorder="1" applyAlignment="1" applyProtection="1">
      <alignment horizontal="left"/>
    </xf>
    <xf numFmtId="0" fontId="0" fillId="2" borderId="1" xfId="0" applyFill="1" applyBorder="1" applyAlignment="1" applyProtection="1">
      <alignment horizontal="left"/>
    </xf>
    <xf numFmtId="0" fontId="0" fillId="2" borderId="2" xfId="0" applyFill="1" applyBorder="1" applyAlignment="1" applyProtection="1">
      <alignment horizontal="left"/>
    </xf>
    <xf numFmtId="0" fontId="0" fillId="2" borderId="13" xfId="0" applyFill="1" applyBorder="1" applyAlignment="1" applyProtection="1">
      <alignment horizontal="left"/>
    </xf>
    <xf numFmtId="0" fontId="17" fillId="2" borderId="3" xfId="0" applyFont="1" applyFill="1" applyBorder="1" applyAlignment="1" applyProtection="1">
      <alignment horizontal="left"/>
    </xf>
    <xf numFmtId="167" fontId="0" fillId="0" borderId="12" xfId="0" applyNumberFormat="1" applyBorder="1" applyAlignment="1" applyProtection="1">
      <alignment horizontal="center"/>
    </xf>
    <xf numFmtId="2" fontId="0" fillId="0" borderId="0" xfId="0" applyNumberFormat="1" applyBorder="1" applyProtection="1"/>
    <xf numFmtId="0" fontId="0" fillId="2" borderId="6" xfId="0" applyFill="1" applyBorder="1" applyAlignment="1" applyProtection="1">
      <alignment horizontal="center" wrapText="1"/>
    </xf>
    <xf numFmtId="0" fontId="0" fillId="2" borderId="60" xfId="0" applyFill="1" applyBorder="1" applyAlignment="1" applyProtection="1">
      <alignment horizontal="center" wrapText="1"/>
    </xf>
    <xf numFmtId="2" fontId="0" fillId="2" borderId="60" xfId="0" applyNumberFormat="1" applyFill="1" applyBorder="1" applyAlignment="1" applyProtection="1">
      <alignment horizontal="center" wrapText="1"/>
    </xf>
    <xf numFmtId="3" fontId="0" fillId="2" borderId="60" xfId="0" applyNumberFormat="1" applyFill="1" applyBorder="1" applyAlignment="1" applyProtection="1">
      <alignment horizontal="center" wrapText="1"/>
    </xf>
    <xf numFmtId="3" fontId="23" fillId="2" borderId="7" xfId="0" applyNumberFormat="1" applyFont="1" applyFill="1" applyBorder="1" applyAlignment="1" applyProtection="1">
      <alignment horizontal="center" wrapText="1"/>
    </xf>
    <xf numFmtId="0" fontId="17" fillId="0" borderId="0" xfId="0" applyFont="1" applyBorder="1" applyProtection="1"/>
    <xf numFmtId="0" fontId="17" fillId="2" borderId="16" xfId="0" applyFont="1" applyFill="1" applyBorder="1" applyAlignment="1" applyProtection="1">
      <alignment horizontal="center" wrapText="1"/>
    </xf>
    <xf numFmtId="0" fontId="17" fillId="2" borderId="51" xfId="0" applyFont="1" applyFill="1" applyBorder="1" applyAlignment="1" applyProtection="1">
      <alignment horizontal="center" wrapText="1"/>
    </xf>
    <xf numFmtId="2" fontId="17" fillId="2" borderId="51" xfId="0" applyNumberFormat="1" applyFont="1" applyFill="1" applyBorder="1" applyAlignment="1" applyProtection="1">
      <alignment horizontal="center" wrapText="1"/>
    </xf>
    <xf numFmtId="3" fontId="17" fillId="2" borderId="51" xfId="0" applyNumberFormat="1" applyFont="1" applyFill="1" applyBorder="1" applyAlignment="1" applyProtection="1">
      <alignment horizontal="center" wrapText="1"/>
    </xf>
    <xf numFmtId="3" fontId="17" fillId="2" borderId="17" xfId="0" applyNumberFormat="1" applyFont="1" applyFill="1" applyBorder="1" applyAlignment="1" applyProtection="1">
      <alignment horizontal="center" wrapText="1"/>
    </xf>
    <xf numFmtId="0" fontId="0" fillId="2" borderId="54" xfId="0" applyFill="1" applyBorder="1" applyAlignment="1" applyProtection="1">
      <alignment horizontal="center" wrapText="1"/>
    </xf>
    <xf numFmtId="2" fontId="0" fillId="2" borderId="54" xfId="0" applyNumberFormat="1" applyFill="1" applyBorder="1" applyAlignment="1" applyProtection="1">
      <alignment horizontal="center" wrapText="1"/>
    </xf>
    <xf numFmtId="3" fontId="0" fillId="2" borderId="54" xfId="0" applyNumberFormat="1" applyFill="1" applyBorder="1" applyAlignment="1" applyProtection="1">
      <alignment horizontal="center" wrapText="1"/>
    </xf>
    <xf numFmtId="3" fontId="0" fillId="2" borderId="34" xfId="0" applyNumberFormat="1" applyFill="1" applyBorder="1" applyAlignment="1" applyProtection="1">
      <alignment horizontal="center" wrapText="1"/>
    </xf>
    <xf numFmtId="0" fontId="0" fillId="0" borderId="16" xfId="0" applyBorder="1" applyProtection="1"/>
    <xf numFmtId="0" fontId="0" fillId="0" borderId="51" xfId="0" applyBorder="1" applyProtection="1"/>
    <xf numFmtId="2" fontId="0" fillId="0" borderId="51" xfId="0" applyNumberFormat="1" applyBorder="1" applyProtection="1"/>
    <xf numFmtId="3" fontId="0" fillId="0" borderId="44" xfId="0" applyNumberFormat="1" applyBorder="1" applyProtection="1"/>
    <xf numFmtId="3" fontId="0" fillId="0" borderId="51" xfId="0" applyNumberFormat="1" applyBorder="1" applyProtection="1"/>
    <xf numFmtId="3" fontId="0" fillId="0" borderId="17" xfId="0" applyNumberFormat="1" applyBorder="1" applyProtection="1"/>
    <xf numFmtId="0" fontId="0" fillId="6" borderId="25" xfId="0" applyFill="1" applyBorder="1" applyProtection="1"/>
    <xf numFmtId="3" fontId="0" fillId="0" borderId="6" xfId="0" applyNumberFormat="1" applyBorder="1" applyProtection="1"/>
    <xf numFmtId="2" fontId="0" fillId="7" borderId="60" xfId="0" applyNumberFormat="1" applyFill="1" applyBorder="1" applyProtection="1">
      <protection locked="0"/>
    </xf>
    <xf numFmtId="3" fontId="0" fillId="0" borderId="57" xfId="0" applyNumberFormat="1" applyBorder="1" applyProtection="1"/>
    <xf numFmtId="3" fontId="0" fillId="0" borderId="60" xfId="0" applyNumberFormat="1" applyBorder="1" applyProtection="1"/>
    <xf numFmtId="3" fontId="0" fillId="0" borderId="7" xfId="0" applyNumberFormat="1" applyBorder="1" applyProtection="1"/>
    <xf numFmtId="0" fontId="0" fillId="6" borderId="56" xfId="0" applyFill="1" applyBorder="1" applyProtection="1"/>
    <xf numFmtId="3" fontId="0" fillId="0" borderId="29" xfId="0" applyNumberFormat="1" applyBorder="1" applyProtection="1"/>
    <xf numFmtId="2" fontId="0" fillId="7" borderId="49" xfId="0" applyNumberFormat="1" applyFill="1" applyBorder="1" applyProtection="1">
      <protection locked="0"/>
    </xf>
    <xf numFmtId="3" fontId="0" fillId="0" borderId="49" xfId="0" applyNumberFormat="1" applyBorder="1" applyProtection="1"/>
    <xf numFmtId="3" fontId="0" fillId="0" borderId="30" xfId="0" applyNumberFormat="1" applyBorder="1" applyProtection="1"/>
    <xf numFmtId="0" fontId="0" fillId="6" borderId="63" xfId="0" applyFill="1" applyBorder="1" applyProtection="1"/>
    <xf numFmtId="3" fontId="0" fillId="0" borderId="33" xfId="0" applyNumberFormat="1" applyBorder="1" applyProtection="1"/>
    <xf numFmtId="2" fontId="0" fillId="7" borderId="54" xfId="0" applyNumberFormat="1" applyFill="1" applyBorder="1" applyProtection="1">
      <protection locked="0"/>
    </xf>
    <xf numFmtId="3" fontId="0" fillId="0" borderId="54" xfId="0" applyNumberFormat="1" applyBorder="1" applyProtection="1"/>
    <xf numFmtId="3" fontId="0" fillId="0" borderId="34" xfId="0" applyNumberFormat="1" applyBorder="1" applyProtection="1"/>
    <xf numFmtId="0" fontId="21" fillId="0" borderId="0" xfId="0" applyFont="1" applyProtection="1"/>
    <xf numFmtId="2" fontId="3" fillId="0" borderId="0" xfId="0" applyNumberFormat="1" applyFont="1" applyBorder="1" applyProtection="1"/>
    <xf numFmtId="0" fontId="0" fillId="0" borderId="44" xfId="0" applyBorder="1" applyProtection="1"/>
    <xf numFmtId="0" fontId="0" fillId="6" borderId="26" xfId="0" applyFill="1" applyBorder="1" applyProtection="1"/>
    <xf numFmtId="3" fontId="0" fillId="0" borderId="67" xfId="0" applyNumberFormat="1" applyBorder="1" applyProtection="1"/>
    <xf numFmtId="2" fontId="0" fillId="7" borderId="59" xfId="0" applyNumberFormat="1" applyFill="1" applyBorder="1" applyProtection="1">
      <protection locked="0"/>
    </xf>
    <xf numFmtId="0" fontId="0" fillId="6" borderId="22" xfId="0" applyFill="1" applyBorder="1" applyProtection="1"/>
    <xf numFmtId="3" fontId="0" fillId="0" borderId="68" xfId="0" applyNumberFormat="1" applyBorder="1" applyProtection="1"/>
    <xf numFmtId="2" fontId="0" fillId="7" borderId="68" xfId="0" applyNumberFormat="1" applyFill="1" applyBorder="1" applyProtection="1">
      <protection locked="0"/>
    </xf>
    <xf numFmtId="0" fontId="0" fillId="6" borderId="53" xfId="0" applyFill="1" applyBorder="1" applyProtection="1"/>
    <xf numFmtId="2" fontId="0" fillId="7" borderId="61" xfId="0" applyNumberFormat="1" applyFill="1" applyBorder="1" applyProtection="1">
      <protection locked="0"/>
    </xf>
    <xf numFmtId="167" fontId="0" fillId="0" borderId="32" xfId="0" applyNumberFormat="1" applyFill="1" applyBorder="1" applyAlignment="1" applyProtection="1">
      <alignment horizontal="center"/>
    </xf>
    <xf numFmtId="2" fontId="0" fillId="0" borderId="32" xfId="0" applyNumberFormat="1" applyBorder="1" applyAlignment="1" applyProtection="1">
      <alignment horizontal="center"/>
    </xf>
    <xf numFmtId="2" fontId="0" fillId="0" borderId="44" xfId="0" applyNumberFormat="1" applyBorder="1" applyProtection="1"/>
    <xf numFmtId="2" fontId="0" fillId="0" borderId="60" xfId="0" applyNumberFormat="1" applyFill="1" applyBorder="1" applyProtection="1"/>
    <xf numFmtId="2" fontId="0" fillId="7" borderId="57" xfId="0" applyNumberFormat="1" applyFill="1" applyBorder="1" applyAlignment="1" applyProtection="1">
      <alignment horizontal="right"/>
      <protection locked="0"/>
    </xf>
    <xf numFmtId="2" fontId="0" fillId="0" borderId="49" xfId="0" applyNumberFormat="1" applyFill="1" applyBorder="1" applyProtection="1"/>
    <xf numFmtId="2" fontId="0" fillId="0" borderId="54" xfId="0" applyNumberFormat="1" applyFill="1" applyBorder="1" applyProtection="1"/>
    <xf numFmtId="2" fontId="0" fillId="7" borderId="54" xfId="0" applyNumberFormat="1" applyFill="1" applyBorder="1" applyAlignment="1" applyProtection="1">
      <alignment horizontal="right"/>
      <protection locked="0"/>
    </xf>
    <xf numFmtId="167" fontId="0" fillId="0" borderId="26" xfId="0" applyNumberFormat="1" applyBorder="1" applyAlignment="1" applyProtection="1">
      <alignment horizontal="center"/>
    </xf>
    <xf numFmtId="0" fontId="2" fillId="2" borderId="0" xfId="0" applyFont="1" applyFill="1" applyAlignment="1">
      <alignment horizontal="center"/>
    </xf>
    <xf numFmtId="0" fontId="4" fillId="2" borderId="0" xfId="0" applyFont="1" applyFill="1" applyAlignment="1">
      <alignment horizontal="center" vertical="top" wrapText="1"/>
    </xf>
    <xf numFmtId="0" fontId="3" fillId="3" borderId="1" xfId="0" applyFont="1" applyFill="1" applyBorder="1" applyAlignment="1" applyProtection="1">
      <protection locked="0"/>
    </xf>
    <xf numFmtId="0" fontId="3" fillId="0" borderId="2" xfId="0" applyFont="1" applyBorder="1" applyAlignment="1" applyProtection="1">
      <protection locked="0"/>
    </xf>
    <xf numFmtId="0" fontId="3" fillId="0" borderId="3" xfId="0" applyFont="1" applyBorder="1" applyAlignment="1" applyProtection="1">
      <protection locked="0"/>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11" xfId="0" applyFont="1" applyFill="1" applyBorder="1" applyAlignment="1">
      <alignment horizontal="center" wrapText="1"/>
    </xf>
    <xf numFmtId="0" fontId="3" fillId="2" borderId="55" xfId="0" applyFont="1" applyFill="1" applyBorder="1" applyAlignment="1">
      <alignment horizontal="center" wrapText="1"/>
    </xf>
    <xf numFmtId="0" fontId="6" fillId="0" borderId="0" xfId="0" applyFont="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8" borderId="1" xfId="0" applyFont="1" applyFill="1" applyBorder="1" applyAlignment="1">
      <alignment horizontal="center"/>
    </xf>
    <xf numFmtId="0" fontId="3" fillId="8" borderId="2" xfId="0" applyFont="1" applyFill="1" applyBorder="1" applyAlignment="1">
      <alignment horizontal="center"/>
    </xf>
    <xf numFmtId="0" fontId="3" fillId="8" borderId="3" xfId="0" applyFont="1" applyFill="1" applyBorder="1" applyAlignment="1">
      <alignment horizontal="center"/>
    </xf>
    <xf numFmtId="0" fontId="3" fillId="2" borderId="38"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25" xfId="0" applyFont="1" applyFill="1" applyBorder="1" applyAlignment="1">
      <alignment horizontal="center" wrapText="1"/>
    </xf>
    <xf numFmtId="0" fontId="3" fillId="2" borderId="39" xfId="0" applyFont="1" applyFill="1" applyBorder="1" applyAlignment="1">
      <alignment horizontal="center" wrapText="1"/>
    </xf>
    <xf numFmtId="0" fontId="3" fillId="2" borderId="52" xfId="0" applyFont="1" applyFill="1" applyBorder="1" applyAlignment="1">
      <alignment horizontal="center" wrapText="1"/>
    </xf>
    <xf numFmtId="0" fontId="3" fillId="5" borderId="1" xfId="0" applyFont="1" applyFill="1" applyBorder="1" applyAlignment="1">
      <alignment horizontal="center"/>
    </xf>
    <xf numFmtId="0" fontId="3" fillId="5" borderId="2" xfId="0" applyFont="1" applyFill="1" applyBorder="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3" fontId="3" fillId="9" borderId="1" xfId="0" applyNumberFormat="1" applyFont="1" applyFill="1" applyBorder="1" applyAlignment="1">
      <alignment horizontal="left"/>
    </xf>
    <xf numFmtId="3" fontId="3" fillId="9" borderId="2" xfId="0" applyNumberFormat="1" applyFont="1" applyFill="1" applyBorder="1" applyAlignment="1">
      <alignment horizontal="left"/>
    </xf>
    <xf numFmtId="3" fontId="3" fillId="9" borderId="3" xfId="0" applyNumberFormat="1" applyFont="1" applyFill="1" applyBorder="1" applyAlignment="1">
      <alignment horizontal="left"/>
    </xf>
    <xf numFmtId="3" fontId="3" fillId="2" borderId="1" xfId="0" applyNumberFormat="1" applyFont="1" applyFill="1" applyBorder="1" applyAlignment="1">
      <alignment horizontal="center"/>
    </xf>
    <xf numFmtId="3" fontId="3" fillId="2" borderId="2" xfId="0" applyNumberFormat="1" applyFont="1" applyFill="1" applyBorder="1" applyAlignment="1">
      <alignment horizontal="center"/>
    </xf>
    <xf numFmtId="3" fontId="3" fillId="2" borderId="3" xfId="0" applyNumberFormat="1" applyFont="1" applyFill="1" applyBorder="1" applyAlignment="1">
      <alignment horizontal="center"/>
    </xf>
    <xf numFmtId="0" fontId="3" fillId="2" borderId="19" xfId="0" applyFont="1" applyFill="1" applyBorder="1" applyAlignment="1">
      <alignment horizontal="center"/>
    </xf>
    <xf numFmtId="0" fontId="3" fillId="2" borderId="44" xfId="0" applyFont="1" applyFill="1" applyBorder="1" applyAlignment="1">
      <alignment horizontal="center"/>
    </xf>
    <xf numFmtId="0" fontId="3" fillId="2" borderId="66" xfId="0" applyFont="1" applyFill="1" applyBorder="1" applyAlignment="1">
      <alignment horizontal="center"/>
    </xf>
    <xf numFmtId="0" fontId="3" fillId="2" borderId="14" xfId="0" applyFont="1" applyFill="1" applyBorder="1" applyAlignment="1">
      <alignment horizontal="center"/>
    </xf>
    <xf numFmtId="3" fontId="3" fillId="2" borderId="13" xfId="0" applyNumberFormat="1" applyFont="1" applyFill="1" applyBorder="1" applyAlignment="1">
      <alignment horizontal="center"/>
    </xf>
    <xf numFmtId="3" fontId="3" fillId="2" borderId="44" xfId="0" applyNumberFormat="1" applyFont="1" applyFill="1" applyBorder="1" applyAlignment="1">
      <alignment horizontal="center"/>
    </xf>
    <xf numFmtId="3" fontId="3" fillId="2" borderId="14" xfId="0" applyNumberFormat="1" applyFont="1" applyFill="1" applyBorder="1" applyAlignment="1">
      <alignment horizontal="center"/>
    </xf>
    <xf numFmtId="3" fontId="3" fillId="0" borderId="1" xfId="0" applyNumberFormat="1" applyFont="1" applyBorder="1" applyAlignment="1">
      <alignment horizontal="left"/>
    </xf>
    <xf numFmtId="3" fontId="3" fillId="0" borderId="2" xfId="0" applyNumberFormat="1" applyFont="1" applyBorder="1" applyAlignment="1">
      <alignment horizontal="left"/>
    </xf>
    <xf numFmtId="3" fontId="3" fillId="0" borderId="3" xfId="0" applyNumberFormat="1" applyFont="1" applyBorder="1" applyAlignment="1">
      <alignment horizontal="left"/>
    </xf>
    <xf numFmtId="3" fontId="0" fillId="0" borderId="0" xfId="0" applyNumberFormat="1" applyFill="1" applyBorder="1" applyAlignment="1">
      <alignment horizontal="center"/>
    </xf>
    <xf numFmtId="0" fontId="0" fillId="0" borderId="0" xfId="0" applyFill="1" applyBorder="1" applyAlignment="1">
      <alignment horizontal="center"/>
    </xf>
    <xf numFmtId="166" fontId="3" fillId="5" borderId="47" xfId="0" applyNumberFormat="1" applyFont="1" applyFill="1" applyBorder="1" applyAlignment="1">
      <alignment horizontal="center"/>
    </xf>
    <xf numFmtId="166" fontId="3" fillId="5" borderId="65" xfId="0" applyNumberFormat="1" applyFont="1" applyFill="1" applyBorder="1" applyAlignment="1">
      <alignment horizontal="center"/>
    </xf>
    <xf numFmtId="166" fontId="7" fillId="0" borderId="48" xfId="0" applyNumberFormat="1" applyFont="1" applyBorder="1" applyAlignment="1">
      <alignment horizontal="center"/>
    </xf>
    <xf numFmtId="166" fontId="7" fillId="0" borderId="64" xfId="0" applyNumberFormat="1" applyFont="1" applyBorder="1" applyAlignment="1">
      <alignment horizontal="center"/>
    </xf>
    <xf numFmtId="0" fontId="7" fillId="5" borderId="2" xfId="0" applyFont="1" applyFill="1" applyBorder="1" applyAlignment="1">
      <alignment horizontal="center"/>
    </xf>
    <xf numFmtId="0" fontId="3" fillId="5" borderId="3" xfId="0" applyFont="1" applyFill="1" applyBorder="1" applyAlignment="1">
      <alignment horizontal="center"/>
    </xf>
    <xf numFmtId="0" fontId="3" fillId="5" borderId="36" xfId="0" applyFont="1" applyFill="1" applyBorder="1" applyAlignment="1">
      <alignment horizontal="left" vertical="top" wrapText="1"/>
    </xf>
    <xf numFmtId="0" fontId="3" fillId="5" borderId="23" xfId="0" applyFont="1" applyFill="1" applyBorder="1" applyAlignment="1">
      <alignment horizontal="left" vertical="top" wrapText="1"/>
    </xf>
    <xf numFmtId="0" fontId="7" fillId="0" borderId="0" xfId="0" applyFont="1" applyAlignment="1">
      <alignment wrapText="1"/>
    </xf>
    <xf numFmtId="0" fontId="0" fillId="0" borderId="0" xfId="0" applyAlignment="1">
      <alignment wrapText="1"/>
    </xf>
    <xf numFmtId="0" fontId="3" fillId="5" borderId="46" xfId="0" applyFont="1" applyFill="1" applyBorder="1" applyAlignment="1">
      <alignment horizontal="center"/>
    </xf>
    <xf numFmtId="0" fontId="3" fillId="5" borderId="52" xfId="0" applyFont="1" applyFill="1" applyBorder="1" applyAlignment="1">
      <alignment horizontal="center"/>
    </xf>
    <xf numFmtId="166" fontId="7" fillId="0" borderId="47" xfId="0" applyNumberFormat="1" applyFont="1" applyBorder="1" applyAlignment="1">
      <alignment horizontal="center"/>
    </xf>
    <xf numFmtId="166" fontId="7" fillId="0" borderId="65" xfId="0" applyNumberFormat="1" applyFont="1" applyBorder="1" applyAlignment="1">
      <alignment horizontal="center"/>
    </xf>
    <xf numFmtId="0" fontId="3" fillId="0" borderId="0" xfId="0" applyFont="1" applyAlignment="1">
      <alignment horizontal="left" wrapText="1" shrinkToFit="1"/>
    </xf>
    <xf numFmtId="0" fontId="3" fillId="5" borderId="25" xfId="0" applyFont="1" applyFill="1" applyBorder="1" applyAlignment="1">
      <alignment horizontal="center"/>
    </xf>
    <xf numFmtId="0" fontId="3" fillId="5" borderId="39" xfId="0" applyFont="1" applyFill="1" applyBorder="1" applyAlignment="1">
      <alignment horizontal="center"/>
    </xf>
    <xf numFmtId="0" fontId="3" fillId="5" borderId="38" xfId="0" applyFont="1" applyFill="1" applyBorder="1" applyAlignment="1">
      <alignment horizontal="center" wrapText="1"/>
    </xf>
    <xf numFmtId="0" fontId="3" fillId="5" borderId="15" xfId="0" applyFont="1" applyFill="1" applyBorder="1" applyAlignment="1">
      <alignment horizontal="center" wrapText="1"/>
    </xf>
    <xf numFmtId="0" fontId="3" fillId="5" borderId="53" xfId="0" applyFont="1" applyFill="1" applyBorder="1" applyAlignment="1">
      <alignment horizontal="center" wrapText="1"/>
    </xf>
    <xf numFmtId="0" fontId="3" fillId="5" borderId="31" xfId="0" applyFont="1" applyFill="1" applyBorder="1" applyAlignment="1">
      <alignment horizontal="center" vertical="top" wrapText="1"/>
    </xf>
  </cellXfs>
  <cellStyles count="2">
    <cellStyle name="Normální" xfId="0" builtinId="0"/>
    <cellStyle name="Procenta" xfId="1" builtinId="5"/>
  </cellStyles>
  <dxfs count="3">
    <dxf>
      <fill>
        <patternFill>
          <bgColor indexed="42"/>
        </patternFill>
      </fill>
      <border>
        <left style="thin">
          <color indexed="64"/>
        </left>
        <right style="thin">
          <color indexed="64"/>
        </right>
        <top style="thin">
          <color indexed="64"/>
        </top>
        <bottom style="thin">
          <color indexed="64"/>
        </bottom>
      </border>
    </dxf>
    <dxf>
      <fill>
        <patternFill>
          <bgColor indexed="42"/>
        </patternFill>
      </fill>
      <border>
        <left style="thin">
          <color indexed="64"/>
        </left>
        <right style="thin">
          <color indexed="64"/>
        </right>
        <top style="thin">
          <color indexed="64"/>
        </top>
        <bottom style="thin">
          <color indexed="64"/>
        </bottom>
      </border>
    </dxf>
    <dxf>
      <fill>
        <patternFill>
          <bgColor indexed="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Drop" dropLines="4" dropStyle="combo" dx="22" fmlaLink="selected" fmlaRange="Defaults!$B$17:$B$20" sel="2" val="0"/>
</file>

<file path=xl/ctrlProps/ctrlProp2.xml><?xml version="1.0" encoding="utf-8"?>
<formControlPr xmlns="http://schemas.microsoft.com/office/spreadsheetml/2009/9/main" objectType="Drop" dropLines="2" dropStyle="combo" dx="22" fmlaLink="Select2" fmlaRange="Defaults!$Q$19:$Q$20" sel="1" val="0"/>
</file>

<file path=xl/ctrlProps/ctrlProp3.xml><?xml version="1.0" encoding="utf-8"?>
<formControlPr xmlns="http://schemas.microsoft.com/office/spreadsheetml/2009/9/main" objectType="Drop" dropLines="19" dropStyle="combo" dx="22" fmlaLink="Select3" fmlaRange="Defaults!$V$8:$V$26" sel="10"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457200</xdr:colOff>
      <xdr:row>4</xdr:row>
      <xdr:rowOff>0</xdr:rowOff>
    </xdr:to>
    <xdr:pic>
      <xdr:nvPicPr>
        <xdr:cNvPr id="4" name="Picture 3" descr="NGGI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6553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10</xdr:row>
      <xdr:rowOff>85673</xdr:rowOff>
    </xdr:from>
    <xdr:to>
      <xdr:col>9</xdr:col>
      <xdr:colOff>356970</xdr:colOff>
      <xdr:row>154</xdr:row>
      <xdr:rowOff>96242</xdr:rowOff>
    </xdr:to>
    <xdr:pic>
      <xdr:nvPicPr>
        <xdr:cNvPr id="6" name="Obrázek 5"/>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381198"/>
          <a:ext cx="7024469" cy="27337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2495550</xdr:colOff>
          <xdr:row>23</xdr:row>
          <xdr:rowOff>180975</xdr:rowOff>
        </xdr:from>
        <xdr:to>
          <xdr:col>4</xdr:col>
          <xdr:colOff>180975</xdr:colOff>
          <xdr:row>25</xdr:row>
          <xdr:rowOff>0</xdr:rowOff>
        </xdr:to>
        <xdr:sp macro="" textlink="">
          <xdr:nvSpPr>
            <xdr:cNvPr id="3073" name="Drop Down 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2495550</xdr:colOff>
          <xdr:row>9</xdr:row>
          <xdr:rowOff>180975</xdr:rowOff>
        </xdr:from>
        <xdr:to>
          <xdr:col>4</xdr:col>
          <xdr:colOff>190500</xdr:colOff>
          <xdr:row>11</xdr:row>
          <xdr:rowOff>0</xdr:rowOff>
        </xdr:to>
        <xdr:sp macro="" textlink="">
          <xdr:nvSpPr>
            <xdr:cNvPr id="3074" name="Drop Down 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1</xdr:row>
          <xdr:rowOff>200025</xdr:rowOff>
        </xdr:from>
        <xdr:to>
          <xdr:col>6</xdr:col>
          <xdr:colOff>200025</xdr:colOff>
          <xdr:row>3</xdr:row>
          <xdr:rowOff>19050</xdr:rowOff>
        </xdr:to>
        <xdr:sp macro="" textlink="">
          <xdr:nvSpPr>
            <xdr:cNvPr id="3075" name="Drop Down 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5</xdr:row>
      <xdr:rowOff>38100</xdr:rowOff>
    </xdr:from>
    <xdr:to>
      <xdr:col>9</xdr:col>
      <xdr:colOff>361950</xdr:colOff>
      <xdr:row>81</xdr:row>
      <xdr:rowOff>114300</xdr:rowOff>
    </xdr:to>
    <xdr:sp macro="" textlink="">
      <xdr:nvSpPr>
        <xdr:cNvPr id="2" name="Text Box 1"/>
        <xdr:cNvSpPr txBox="1">
          <a:spLocks noChangeArrowheads="1"/>
        </xdr:cNvSpPr>
      </xdr:nvSpPr>
      <xdr:spPr bwMode="auto">
        <a:xfrm>
          <a:off x="47625" y="695325"/>
          <a:ext cx="5800725" cy="14554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cs-CZ" sz="1000" b="1" i="0" u="none" strike="noStrike" baseline="0">
              <a:solidFill>
                <a:srgbClr val="000000"/>
              </a:solidFill>
              <a:latin typeface="Arial"/>
              <a:cs typeface="Arial"/>
            </a:rPr>
            <a:t>Theory and equations</a:t>
          </a:r>
          <a:endParaRPr lang="cs-CZ" sz="1000" b="0" i="0" u="none" strike="noStrike" baseline="0">
            <a:solidFill>
              <a:srgbClr val="000000"/>
            </a:solidFill>
            <a:latin typeface="Arial"/>
            <a:cs typeface="Arial"/>
          </a:endParaRP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basic equation for the first order decay model is:</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(1)                  DDOCm = DDOCm(0) * e^-kt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where DDOCm(0) is the mass of decomposable degradable organic carbon (DOC) at the start of the reaction, when t=0 and e^-kt=1, k is the reaction constant and t is the time in years. DDOCm is the mass of DDOC at any time. </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From equation (I) it is easy to see that at the end of year 1 (going from point 0 to point 1 on the time axis) the mass of DDOC left not decomposed in the SWDS is: </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(2)                  DDOCm(1) = DDOCm(0) * e^-k</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and the mass of DDOC decomposed into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and CO</a:t>
          </a:r>
          <a:r>
            <a:rPr lang="cs-CZ" sz="1000" b="0" i="0" u="none" strike="noStrike" baseline="-25000">
              <a:solidFill>
                <a:srgbClr val="000000"/>
              </a:solidFill>
              <a:latin typeface="Arial"/>
              <a:cs typeface="Arial"/>
            </a:rPr>
            <a:t>2</a:t>
          </a:r>
          <a:r>
            <a:rPr lang="cs-CZ" sz="1000" b="0" i="0" u="none" strike="noStrike" baseline="0">
              <a:solidFill>
                <a:srgbClr val="000000"/>
              </a:solidFill>
              <a:latin typeface="Arial"/>
              <a:cs typeface="Arial"/>
            </a:rPr>
            <a:t> will be:</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(3)                 DDOCmdecomp(1) = DDOCm(0) * (1 - e^-k)</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In a first order reaction, the amount of product (here decomposed DDOCm) is always proportional to the amount of reactant (here DDOCm). This means that it does not matter when the DDOCm was deposited. This also means that when the amount of DDOCm accumulated in the SWDS, plus last year's deposit, is known,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production can be calculated as if every year is year number one in the time series. Then all calculations can be done by equations (2) and (3) in a simple spreadsheet.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default assumption is that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generation from all the waste deposited each year begins on the 1st of January in the year after deposition. This is the same as an average six month delay until substantial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generation begins (the time it takes for anaerobic conditions to become well established). However, the worksheet includes the possibility of an earlier start to the reaction, in the year of deposition of the waste. This requires separate calculations for the deposition year. For longer delay times than 6 months, DDOCmd in the columns F and G cells in the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calculating sheets, have to be readdressed one cell down, and the number 13 in exp2 has to be changed to 25 (7 to 18 months delay time).</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equations used in these spreadsheets are: (As the mathematics of every waste fraction/category is the same, indexing for fraction/category is omitted for equations 4-9.)</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To calculate mass of decomposable DOC (DDOCm) from amount of waste material (W):</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(4)  DDOCmd(T), = W(T) •  DOC * DOCf    •  MCF</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amount of deposited DDOCm remaining not decomposed at the end of deposition year 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(5) DDOCmrem(T) = DDOCmd(T) •  e^(-k • ((13-M)/12)</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amount of deposited DDOCm decomposed during deposition year 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(6)  DDOCmdec(T) = DDOCmd(T) •  (1 – e^(-k • ((13-M)/12))) </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amount of DDOCm accumulated in the SWDS at the end of year 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(7) DDOCma(T) = DDOCmrem(T) + ( DDOCma(T-1) •  e^-k)</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total amount of DDOCm decomposed in year 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(8) DDOCmdecomp(T) = DDOCmdec(T)  + (DDOCma(T-1) •  (1 - e^-k)) </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amount of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generated from DOC decomposed</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(9)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generated(T)  = DDOCmdecomp(T)   •  F  • 16/12</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The amount of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emitted</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(10)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emitted in year T = (ΣxCH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generated (x,T) – R(T)) •  (1- OX(T))</a:t>
          </a:r>
        </a:p>
        <a:p>
          <a:pPr algn="l" rtl="0">
            <a:defRPr sz="1000"/>
          </a:pPr>
          <a:endParaRPr lang="cs-CZ" sz="1000" b="0" i="0" u="none" strike="noStrike" baseline="0">
            <a:solidFill>
              <a:srgbClr val="000000"/>
            </a:solidFill>
            <a:latin typeface="Arial"/>
            <a:cs typeface="Arial"/>
          </a:endParaRPr>
        </a:p>
        <a:p>
          <a:pPr algn="l" rtl="0">
            <a:defRPr sz="1000"/>
          </a:pPr>
          <a:r>
            <a:rPr lang="cs-CZ" sz="1000" b="0" i="0" u="none" strike="noStrike" baseline="0">
              <a:solidFill>
                <a:srgbClr val="000000"/>
              </a:solidFill>
              <a:latin typeface="Arial"/>
              <a:cs typeface="Arial"/>
            </a:rPr>
            <a:t> Where: </a:t>
          </a:r>
        </a:p>
        <a:p>
          <a:pPr algn="l" rtl="0">
            <a:defRPr sz="1000"/>
          </a:pPr>
          <a:r>
            <a:rPr lang="cs-CZ" sz="1000" b="0" i="0" u="none" strike="noStrike" baseline="0">
              <a:solidFill>
                <a:srgbClr val="000000"/>
              </a:solidFill>
              <a:latin typeface="Arial"/>
              <a:cs typeface="Arial"/>
            </a:rPr>
            <a:t>          T = the year of inventory</a:t>
          </a:r>
        </a:p>
        <a:p>
          <a:pPr algn="l" rtl="0">
            <a:defRPr sz="1000"/>
          </a:pPr>
          <a:r>
            <a:rPr lang="cs-CZ" sz="1000" b="0" i="0" u="none" strike="noStrike" baseline="0">
              <a:solidFill>
                <a:srgbClr val="000000"/>
              </a:solidFill>
              <a:latin typeface="Arial"/>
              <a:cs typeface="Arial"/>
            </a:rPr>
            <a:t>          x = material fraction/waste category</a:t>
          </a:r>
        </a:p>
        <a:p>
          <a:pPr algn="l" rtl="0">
            <a:defRPr sz="1000"/>
          </a:pPr>
          <a:r>
            <a:rPr lang="cs-CZ" sz="1000" b="0" i="0" u="none" strike="noStrike" baseline="0">
              <a:solidFill>
                <a:srgbClr val="000000"/>
              </a:solidFill>
              <a:latin typeface="Arial"/>
              <a:cs typeface="Arial"/>
            </a:rPr>
            <a:t>          W(T) = amount deposited in year T</a:t>
          </a:r>
        </a:p>
        <a:p>
          <a:pPr algn="l" rtl="0">
            <a:defRPr sz="1000"/>
          </a:pPr>
          <a:r>
            <a:rPr lang="cs-CZ" sz="1000" b="0" i="0" u="none" strike="noStrike" baseline="0">
              <a:solidFill>
                <a:srgbClr val="000000"/>
              </a:solidFill>
              <a:latin typeface="Arial"/>
              <a:cs typeface="Arial"/>
            </a:rPr>
            <a:t>          MCF = Methane Correction Factor</a:t>
          </a:r>
        </a:p>
        <a:p>
          <a:pPr algn="l" rtl="0">
            <a:defRPr sz="1000"/>
          </a:pPr>
          <a:r>
            <a:rPr lang="cs-CZ" sz="1000" b="0" i="0" u="none" strike="noStrike" baseline="0">
              <a:solidFill>
                <a:srgbClr val="000000"/>
              </a:solidFill>
              <a:latin typeface="Arial"/>
              <a:cs typeface="Arial"/>
            </a:rPr>
            <a:t>          DOC = Degradable organic carbon (under aerobic conditions)</a:t>
          </a:r>
        </a:p>
        <a:p>
          <a:pPr algn="l" rtl="0">
            <a:defRPr sz="1000"/>
          </a:pPr>
          <a:r>
            <a:rPr lang="cs-CZ" sz="1000" b="0" i="0" u="none" strike="noStrike" baseline="0">
              <a:solidFill>
                <a:srgbClr val="000000"/>
              </a:solidFill>
              <a:latin typeface="Arial"/>
              <a:cs typeface="Arial"/>
            </a:rPr>
            <a:t>          DOCf = Fraction of DOC decomposing under anaerobic conditions</a:t>
          </a:r>
        </a:p>
        <a:p>
          <a:pPr algn="l" rtl="0">
            <a:defRPr sz="1000"/>
          </a:pPr>
          <a:r>
            <a:rPr lang="cs-CZ" sz="1000" b="0" i="0" u="none" strike="noStrike" baseline="0">
              <a:solidFill>
                <a:srgbClr val="000000"/>
              </a:solidFill>
              <a:latin typeface="Arial"/>
              <a:cs typeface="Arial"/>
            </a:rPr>
            <a:t>          DDOC = Decomposable Degradable Organic Carbon (under anaerobic conditions)</a:t>
          </a:r>
        </a:p>
        <a:p>
          <a:pPr algn="l" rtl="0">
            <a:defRPr sz="1000"/>
          </a:pPr>
          <a:r>
            <a:rPr lang="cs-CZ" sz="1000" b="0" i="0" u="none" strike="noStrike" baseline="0">
              <a:solidFill>
                <a:srgbClr val="000000"/>
              </a:solidFill>
              <a:latin typeface="Arial"/>
              <a:cs typeface="Arial"/>
            </a:rPr>
            <a:t>          DDOCmd(T) = mass of DDOC deposited year T</a:t>
          </a:r>
        </a:p>
        <a:p>
          <a:pPr algn="l" rtl="0">
            <a:defRPr sz="1000"/>
          </a:pPr>
          <a:r>
            <a:rPr lang="cs-CZ" sz="1000" b="0" i="0" u="none" strike="noStrike" baseline="0">
              <a:solidFill>
                <a:srgbClr val="000000"/>
              </a:solidFill>
              <a:latin typeface="Arial"/>
              <a:cs typeface="Arial"/>
            </a:rPr>
            <a:t>          DDOCmrem(T) = mass of DDOC deposited in inventory year T, remaining not decomposed at the           </a:t>
          </a:r>
        </a:p>
        <a:p>
          <a:pPr algn="l" rtl="0">
            <a:defRPr sz="1000"/>
          </a:pPr>
          <a:r>
            <a:rPr lang="cs-CZ" sz="1000" b="0" i="0" u="none" strike="noStrike" baseline="0">
              <a:solidFill>
                <a:srgbClr val="000000"/>
              </a:solidFill>
              <a:latin typeface="Arial"/>
              <a:cs typeface="Arial"/>
            </a:rPr>
            <a:t>                                   end of year.</a:t>
          </a:r>
        </a:p>
        <a:p>
          <a:pPr algn="l" rtl="0">
            <a:defRPr sz="1000"/>
          </a:pPr>
          <a:r>
            <a:rPr lang="cs-CZ" sz="1000" b="0" i="0" u="none" strike="noStrike" baseline="0">
              <a:solidFill>
                <a:srgbClr val="000000"/>
              </a:solidFill>
              <a:latin typeface="Arial"/>
              <a:cs typeface="Arial"/>
            </a:rPr>
            <a:t>          DDOCmdec(T) = mass of DDOC deposited in inventory year T, decomposed during the year.</a:t>
          </a:r>
        </a:p>
        <a:p>
          <a:pPr algn="l" rtl="0">
            <a:defRPr sz="1000"/>
          </a:pPr>
          <a:r>
            <a:rPr lang="cs-CZ" sz="1000" b="0" i="0" u="none" strike="noStrike" baseline="0">
              <a:solidFill>
                <a:srgbClr val="000000"/>
              </a:solidFill>
              <a:latin typeface="Arial"/>
              <a:cs typeface="Arial"/>
            </a:rPr>
            <a:t>          DDOCma(T) = total mass of DDOC left not decomposed at end of year T.        </a:t>
          </a:r>
        </a:p>
        <a:p>
          <a:pPr algn="l" rtl="0">
            <a:defRPr sz="1000"/>
          </a:pPr>
          <a:r>
            <a:rPr lang="cs-CZ" sz="1000" b="0" i="0" u="none" strike="noStrike" baseline="0">
              <a:solidFill>
                <a:srgbClr val="000000"/>
              </a:solidFill>
              <a:latin typeface="Arial"/>
              <a:cs typeface="Arial"/>
            </a:rPr>
            <a:t>          DDOCma(T-1) = total mass of DDOC left not decomposed at end of year T-1.</a:t>
          </a:r>
        </a:p>
        <a:p>
          <a:pPr algn="l" rtl="0">
            <a:defRPr sz="1000"/>
          </a:pPr>
          <a:r>
            <a:rPr lang="cs-CZ" sz="1000" b="0" i="0" u="none" strike="noStrike" baseline="0">
              <a:solidFill>
                <a:srgbClr val="000000"/>
              </a:solidFill>
              <a:latin typeface="Arial"/>
              <a:cs typeface="Arial"/>
            </a:rPr>
            <a:t>          DDOCmdecomp(T) = total mass of DDOC decomposed in year T.</a:t>
          </a:r>
        </a:p>
        <a:p>
          <a:pPr algn="l" rtl="0">
            <a:defRPr sz="1000"/>
          </a:pPr>
          <a:r>
            <a:rPr lang="cs-CZ" sz="1000" b="0" i="0" u="none" strike="noStrike" baseline="0">
              <a:solidFill>
                <a:srgbClr val="000000"/>
              </a:solidFill>
              <a:latin typeface="Arial"/>
              <a:cs typeface="Arial"/>
            </a:rPr>
            <a:t>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generated(T) =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generated in year T</a:t>
          </a:r>
        </a:p>
        <a:p>
          <a:pPr algn="l" rtl="0">
            <a:defRPr sz="1000"/>
          </a:pPr>
          <a:r>
            <a:rPr lang="cs-CZ" sz="1000" b="0" i="0" u="none" strike="noStrike" baseline="0">
              <a:solidFill>
                <a:srgbClr val="000000"/>
              </a:solidFill>
              <a:latin typeface="Arial"/>
              <a:cs typeface="Arial"/>
            </a:rPr>
            <a:t>          F = Fraction of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by volume in generated landfill gas</a:t>
          </a:r>
        </a:p>
        <a:p>
          <a:pPr algn="l" rtl="0">
            <a:defRPr sz="1000"/>
          </a:pPr>
          <a:r>
            <a:rPr lang="cs-CZ" sz="1000" b="0" i="0" u="none" strike="noStrike" baseline="0">
              <a:solidFill>
                <a:srgbClr val="000000"/>
              </a:solidFill>
              <a:latin typeface="Arial"/>
              <a:cs typeface="Arial"/>
            </a:rPr>
            <a:t>          16/12 = Molecular weight ratio CH4/C </a:t>
          </a:r>
        </a:p>
        <a:p>
          <a:pPr algn="l" rtl="0">
            <a:defRPr sz="1000"/>
          </a:pPr>
          <a:r>
            <a:rPr lang="cs-CZ" sz="1000" b="0" i="0" u="none" strike="noStrike" baseline="0">
              <a:solidFill>
                <a:srgbClr val="000000"/>
              </a:solidFill>
              <a:latin typeface="Arial"/>
              <a:cs typeface="Arial"/>
            </a:rPr>
            <a:t>          R(T) = Recovered CH</a:t>
          </a:r>
          <a:r>
            <a:rPr lang="cs-CZ" sz="1000" b="0" i="0" u="none" strike="noStrike" baseline="-25000">
              <a:solidFill>
                <a:srgbClr val="000000"/>
              </a:solidFill>
              <a:latin typeface="Arial"/>
              <a:cs typeface="Arial"/>
            </a:rPr>
            <a:t>4</a:t>
          </a:r>
          <a:r>
            <a:rPr lang="cs-CZ" sz="1000" b="0" i="0" u="none" strike="noStrike" baseline="0">
              <a:solidFill>
                <a:srgbClr val="000000"/>
              </a:solidFill>
              <a:latin typeface="Arial"/>
              <a:cs typeface="Arial"/>
            </a:rPr>
            <a:t> in year T</a:t>
          </a:r>
        </a:p>
        <a:p>
          <a:pPr algn="l" rtl="0">
            <a:defRPr sz="1000"/>
          </a:pPr>
          <a:r>
            <a:rPr lang="cs-CZ" sz="1000" b="0" i="0" u="none" strike="noStrike" baseline="0">
              <a:solidFill>
                <a:srgbClr val="000000"/>
              </a:solidFill>
              <a:latin typeface="Arial"/>
              <a:cs typeface="Arial"/>
            </a:rPr>
            <a:t>          OX(T) = Oxidation factor in year T (fraction)</a:t>
          </a:r>
        </a:p>
        <a:p>
          <a:pPr algn="l" rtl="0">
            <a:defRPr sz="1000"/>
          </a:pPr>
          <a:r>
            <a:rPr lang="cs-CZ" sz="1000" b="0" i="0" u="none" strike="noStrike" baseline="0">
              <a:solidFill>
                <a:srgbClr val="000000"/>
              </a:solidFill>
              <a:latin typeface="Arial"/>
              <a:cs typeface="Arial"/>
            </a:rPr>
            <a:t>          k = rate of reaction constant </a:t>
          </a:r>
        </a:p>
        <a:p>
          <a:pPr algn="l" rtl="0">
            <a:defRPr sz="1000"/>
          </a:pPr>
          <a:r>
            <a:rPr lang="cs-CZ" sz="1000" b="0" i="0" u="none" strike="noStrike" baseline="0">
              <a:solidFill>
                <a:srgbClr val="000000"/>
              </a:solidFill>
              <a:latin typeface="Arial"/>
              <a:cs typeface="Arial"/>
            </a:rPr>
            <a:t>          M = Month of reaction start (= delay time + 7)</a:t>
          </a:r>
        </a:p>
        <a:p>
          <a:pPr algn="l" rtl="0">
            <a:defRPr sz="1000"/>
          </a:pPr>
          <a:endParaRPr lang="cs-CZ"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omments" Target="../comments1.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00B0F0"/>
  </sheetPr>
  <dimension ref="B7:K135"/>
  <sheetViews>
    <sheetView tabSelected="1" workbookViewId="0"/>
  </sheetViews>
  <sheetFormatPr defaultColWidth="11.42578125" defaultRowHeight="15" x14ac:dyDescent="0.25"/>
  <cols>
    <col min="1" max="1" width="1.85546875" style="2" customWidth="1"/>
    <col min="2" max="7" width="11.42578125" style="2" customWidth="1"/>
    <col min="8" max="8" width="18.140625" style="2" customWidth="1"/>
    <col min="9" max="256" width="11.42578125" style="2"/>
    <col min="257" max="257" width="1.85546875" style="2" customWidth="1"/>
    <col min="258" max="263" width="11.42578125" style="2" customWidth="1"/>
    <col min="264" max="264" width="18.140625" style="2" customWidth="1"/>
    <col min="265" max="512" width="11.42578125" style="2"/>
    <col min="513" max="513" width="1.85546875" style="2" customWidth="1"/>
    <col min="514" max="519" width="11.42578125" style="2" customWidth="1"/>
    <col min="520" max="520" width="18.140625" style="2" customWidth="1"/>
    <col min="521" max="768" width="11.42578125" style="2"/>
    <col min="769" max="769" width="1.85546875" style="2" customWidth="1"/>
    <col min="770" max="775" width="11.42578125" style="2" customWidth="1"/>
    <col min="776" max="776" width="18.140625" style="2" customWidth="1"/>
    <col min="777" max="1024" width="11.42578125" style="2"/>
    <col min="1025" max="1025" width="1.85546875" style="2" customWidth="1"/>
    <col min="1026" max="1031" width="11.42578125" style="2" customWidth="1"/>
    <col min="1032" max="1032" width="18.140625" style="2" customWidth="1"/>
    <col min="1033" max="1280" width="11.42578125" style="2"/>
    <col min="1281" max="1281" width="1.85546875" style="2" customWidth="1"/>
    <col min="1282" max="1287" width="11.42578125" style="2" customWidth="1"/>
    <col min="1288" max="1288" width="18.140625" style="2" customWidth="1"/>
    <col min="1289" max="1536" width="11.42578125" style="2"/>
    <col min="1537" max="1537" width="1.85546875" style="2" customWidth="1"/>
    <col min="1538" max="1543" width="11.42578125" style="2" customWidth="1"/>
    <col min="1544" max="1544" width="18.140625" style="2" customWidth="1"/>
    <col min="1545" max="1792" width="11.42578125" style="2"/>
    <col min="1793" max="1793" width="1.85546875" style="2" customWidth="1"/>
    <col min="1794" max="1799" width="11.42578125" style="2" customWidth="1"/>
    <col min="1800" max="1800" width="18.140625" style="2" customWidth="1"/>
    <col min="1801" max="2048" width="11.42578125" style="2"/>
    <col min="2049" max="2049" width="1.85546875" style="2" customWidth="1"/>
    <col min="2050" max="2055" width="11.42578125" style="2" customWidth="1"/>
    <col min="2056" max="2056" width="18.140625" style="2" customWidth="1"/>
    <col min="2057" max="2304" width="11.42578125" style="2"/>
    <col min="2305" max="2305" width="1.85546875" style="2" customWidth="1"/>
    <col min="2306" max="2311" width="11.42578125" style="2" customWidth="1"/>
    <col min="2312" max="2312" width="18.140625" style="2" customWidth="1"/>
    <col min="2313" max="2560" width="11.42578125" style="2"/>
    <col min="2561" max="2561" width="1.85546875" style="2" customWidth="1"/>
    <col min="2562" max="2567" width="11.42578125" style="2" customWidth="1"/>
    <col min="2568" max="2568" width="18.140625" style="2" customWidth="1"/>
    <col min="2569" max="2816" width="11.42578125" style="2"/>
    <col min="2817" max="2817" width="1.85546875" style="2" customWidth="1"/>
    <col min="2818" max="2823" width="11.42578125" style="2" customWidth="1"/>
    <col min="2824" max="2824" width="18.140625" style="2" customWidth="1"/>
    <col min="2825" max="3072" width="11.42578125" style="2"/>
    <col min="3073" max="3073" width="1.85546875" style="2" customWidth="1"/>
    <col min="3074" max="3079" width="11.42578125" style="2" customWidth="1"/>
    <col min="3080" max="3080" width="18.140625" style="2" customWidth="1"/>
    <col min="3081" max="3328" width="11.42578125" style="2"/>
    <col min="3329" max="3329" width="1.85546875" style="2" customWidth="1"/>
    <col min="3330" max="3335" width="11.42578125" style="2" customWidth="1"/>
    <col min="3336" max="3336" width="18.140625" style="2" customWidth="1"/>
    <col min="3337" max="3584" width="11.42578125" style="2"/>
    <col min="3585" max="3585" width="1.85546875" style="2" customWidth="1"/>
    <col min="3586" max="3591" width="11.42578125" style="2" customWidth="1"/>
    <col min="3592" max="3592" width="18.140625" style="2" customWidth="1"/>
    <col min="3593" max="3840" width="11.42578125" style="2"/>
    <col min="3841" max="3841" width="1.85546875" style="2" customWidth="1"/>
    <col min="3842" max="3847" width="11.42578125" style="2" customWidth="1"/>
    <col min="3848" max="3848" width="18.140625" style="2" customWidth="1"/>
    <col min="3849" max="4096" width="11.42578125" style="2"/>
    <col min="4097" max="4097" width="1.85546875" style="2" customWidth="1"/>
    <col min="4098" max="4103" width="11.42578125" style="2" customWidth="1"/>
    <col min="4104" max="4104" width="18.140625" style="2" customWidth="1"/>
    <col min="4105" max="4352" width="11.42578125" style="2"/>
    <col min="4353" max="4353" width="1.85546875" style="2" customWidth="1"/>
    <col min="4354" max="4359" width="11.42578125" style="2" customWidth="1"/>
    <col min="4360" max="4360" width="18.140625" style="2" customWidth="1"/>
    <col min="4361" max="4608" width="11.42578125" style="2"/>
    <col min="4609" max="4609" width="1.85546875" style="2" customWidth="1"/>
    <col min="4610" max="4615" width="11.42578125" style="2" customWidth="1"/>
    <col min="4616" max="4616" width="18.140625" style="2" customWidth="1"/>
    <col min="4617" max="4864" width="11.42578125" style="2"/>
    <col min="4865" max="4865" width="1.85546875" style="2" customWidth="1"/>
    <col min="4866" max="4871" width="11.42578125" style="2" customWidth="1"/>
    <col min="4872" max="4872" width="18.140625" style="2" customWidth="1"/>
    <col min="4873" max="5120" width="11.42578125" style="2"/>
    <col min="5121" max="5121" width="1.85546875" style="2" customWidth="1"/>
    <col min="5122" max="5127" width="11.42578125" style="2" customWidth="1"/>
    <col min="5128" max="5128" width="18.140625" style="2" customWidth="1"/>
    <col min="5129" max="5376" width="11.42578125" style="2"/>
    <col min="5377" max="5377" width="1.85546875" style="2" customWidth="1"/>
    <col min="5378" max="5383" width="11.42578125" style="2" customWidth="1"/>
    <col min="5384" max="5384" width="18.140625" style="2" customWidth="1"/>
    <col min="5385" max="5632" width="11.42578125" style="2"/>
    <col min="5633" max="5633" width="1.85546875" style="2" customWidth="1"/>
    <col min="5634" max="5639" width="11.42578125" style="2" customWidth="1"/>
    <col min="5640" max="5640" width="18.140625" style="2" customWidth="1"/>
    <col min="5641" max="5888" width="11.42578125" style="2"/>
    <col min="5889" max="5889" width="1.85546875" style="2" customWidth="1"/>
    <col min="5890" max="5895" width="11.42578125" style="2" customWidth="1"/>
    <col min="5896" max="5896" width="18.140625" style="2" customWidth="1"/>
    <col min="5897" max="6144" width="11.42578125" style="2"/>
    <col min="6145" max="6145" width="1.85546875" style="2" customWidth="1"/>
    <col min="6146" max="6151" width="11.42578125" style="2" customWidth="1"/>
    <col min="6152" max="6152" width="18.140625" style="2" customWidth="1"/>
    <col min="6153" max="6400" width="11.42578125" style="2"/>
    <col min="6401" max="6401" width="1.85546875" style="2" customWidth="1"/>
    <col min="6402" max="6407" width="11.42578125" style="2" customWidth="1"/>
    <col min="6408" max="6408" width="18.140625" style="2" customWidth="1"/>
    <col min="6409" max="6656" width="11.42578125" style="2"/>
    <col min="6657" max="6657" width="1.85546875" style="2" customWidth="1"/>
    <col min="6658" max="6663" width="11.42578125" style="2" customWidth="1"/>
    <col min="6664" max="6664" width="18.140625" style="2" customWidth="1"/>
    <col min="6665" max="6912" width="11.42578125" style="2"/>
    <col min="6913" max="6913" width="1.85546875" style="2" customWidth="1"/>
    <col min="6914" max="6919" width="11.42578125" style="2" customWidth="1"/>
    <col min="6920" max="6920" width="18.140625" style="2" customWidth="1"/>
    <col min="6921" max="7168" width="11.42578125" style="2"/>
    <col min="7169" max="7169" width="1.85546875" style="2" customWidth="1"/>
    <col min="7170" max="7175" width="11.42578125" style="2" customWidth="1"/>
    <col min="7176" max="7176" width="18.140625" style="2" customWidth="1"/>
    <col min="7177" max="7424" width="11.42578125" style="2"/>
    <col min="7425" max="7425" width="1.85546875" style="2" customWidth="1"/>
    <col min="7426" max="7431" width="11.42578125" style="2" customWidth="1"/>
    <col min="7432" max="7432" width="18.140625" style="2" customWidth="1"/>
    <col min="7433" max="7680" width="11.42578125" style="2"/>
    <col min="7681" max="7681" width="1.85546875" style="2" customWidth="1"/>
    <col min="7682" max="7687" width="11.42578125" style="2" customWidth="1"/>
    <col min="7688" max="7688" width="18.140625" style="2" customWidth="1"/>
    <col min="7689" max="7936" width="11.42578125" style="2"/>
    <col min="7937" max="7937" width="1.85546875" style="2" customWidth="1"/>
    <col min="7938" max="7943" width="11.42578125" style="2" customWidth="1"/>
    <col min="7944" max="7944" width="18.140625" style="2" customWidth="1"/>
    <col min="7945" max="8192" width="11.42578125" style="2"/>
    <col min="8193" max="8193" width="1.85546875" style="2" customWidth="1"/>
    <col min="8194" max="8199" width="11.42578125" style="2" customWidth="1"/>
    <col min="8200" max="8200" width="18.140625" style="2" customWidth="1"/>
    <col min="8201" max="8448" width="11.42578125" style="2"/>
    <col min="8449" max="8449" width="1.85546875" style="2" customWidth="1"/>
    <col min="8450" max="8455" width="11.42578125" style="2" customWidth="1"/>
    <col min="8456" max="8456" width="18.140625" style="2" customWidth="1"/>
    <col min="8457" max="8704" width="11.42578125" style="2"/>
    <col min="8705" max="8705" width="1.85546875" style="2" customWidth="1"/>
    <col min="8706" max="8711" width="11.42578125" style="2" customWidth="1"/>
    <col min="8712" max="8712" width="18.140625" style="2" customWidth="1"/>
    <col min="8713" max="8960" width="11.42578125" style="2"/>
    <col min="8961" max="8961" width="1.85546875" style="2" customWidth="1"/>
    <col min="8962" max="8967" width="11.42578125" style="2" customWidth="1"/>
    <col min="8968" max="8968" width="18.140625" style="2" customWidth="1"/>
    <col min="8969" max="9216" width="11.42578125" style="2"/>
    <col min="9217" max="9217" width="1.85546875" style="2" customWidth="1"/>
    <col min="9218" max="9223" width="11.42578125" style="2" customWidth="1"/>
    <col min="9224" max="9224" width="18.140625" style="2" customWidth="1"/>
    <col min="9225" max="9472" width="11.42578125" style="2"/>
    <col min="9473" max="9473" width="1.85546875" style="2" customWidth="1"/>
    <col min="9474" max="9479" width="11.42578125" style="2" customWidth="1"/>
    <col min="9480" max="9480" width="18.140625" style="2" customWidth="1"/>
    <col min="9481" max="9728" width="11.42578125" style="2"/>
    <col min="9729" max="9729" width="1.85546875" style="2" customWidth="1"/>
    <col min="9730" max="9735" width="11.42578125" style="2" customWidth="1"/>
    <col min="9736" max="9736" width="18.140625" style="2" customWidth="1"/>
    <col min="9737" max="9984" width="11.42578125" style="2"/>
    <col min="9985" max="9985" width="1.85546875" style="2" customWidth="1"/>
    <col min="9986" max="9991" width="11.42578125" style="2" customWidth="1"/>
    <col min="9992" max="9992" width="18.140625" style="2" customWidth="1"/>
    <col min="9993" max="10240" width="11.42578125" style="2"/>
    <col min="10241" max="10241" width="1.85546875" style="2" customWidth="1"/>
    <col min="10242" max="10247" width="11.42578125" style="2" customWidth="1"/>
    <col min="10248" max="10248" width="18.140625" style="2" customWidth="1"/>
    <col min="10249" max="10496" width="11.42578125" style="2"/>
    <col min="10497" max="10497" width="1.85546875" style="2" customWidth="1"/>
    <col min="10498" max="10503" width="11.42578125" style="2" customWidth="1"/>
    <col min="10504" max="10504" width="18.140625" style="2" customWidth="1"/>
    <col min="10505" max="10752" width="11.42578125" style="2"/>
    <col min="10753" max="10753" width="1.85546875" style="2" customWidth="1"/>
    <col min="10754" max="10759" width="11.42578125" style="2" customWidth="1"/>
    <col min="10760" max="10760" width="18.140625" style="2" customWidth="1"/>
    <col min="10761" max="11008" width="11.42578125" style="2"/>
    <col min="11009" max="11009" width="1.85546875" style="2" customWidth="1"/>
    <col min="11010" max="11015" width="11.42578125" style="2" customWidth="1"/>
    <col min="11016" max="11016" width="18.140625" style="2" customWidth="1"/>
    <col min="11017" max="11264" width="11.42578125" style="2"/>
    <col min="11265" max="11265" width="1.85546875" style="2" customWidth="1"/>
    <col min="11266" max="11271" width="11.42578125" style="2" customWidth="1"/>
    <col min="11272" max="11272" width="18.140625" style="2" customWidth="1"/>
    <col min="11273" max="11520" width="11.42578125" style="2"/>
    <col min="11521" max="11521" width="1.85546875" style="2" customWidth="1"/>
    <col min="11522" max="11527" width="11.42578125" style="2" customWidth="1"/>
    <col min="11528" max="11528" width="18.140625" style="2" customWidth="1"/>
    <col min="11529" max="11776" width="11.42578125" style="2"/>
    <col min="11777" max="11777" width="1.85546875" style="2" customWidth="1"/>
    <col min="11778" max="11783" width="11.42578125" style="2" customWidth="1"/>
    <col min="11784" max="11784" width="18.140625" style="2" customWidth="1"/>
    <col min="11785" max="12032" width="11.42578125" style="2"/>
    <col min="12033" max="12033" width="1.85546875" style="2" customWidth="1"/>
    <col min="12034" max="12039" width="11.42578125" style="2" customWidth="1"/>
    <col min="12040" max="12040" width="18.140625" style="2" customWidth="1"/>
    <col min="12041" max="12288" width="11.42578125" style="2"/>
    <col min="12289" max="12289" width="1.85546875" style="2" customWidth="1"/>
    <col min="12290" max="12295" width="11.42578125" style="2" customWidth="1"/>
    <col min="12296" max="12296" width="18.140625" style="2" customWidth="1"/>
    <col min="12297" max="12544" width="11.42578125" style="2"/>
    <col min="12545" max="12545" width="1.85546875" style="2" customWidth="1"/>
    <col min="12546" max="12551" width="11.42578125" style="2" customWidth="1"/>
    <col min="12552" max="12552" width="18.140625" style="2" customWidth="1"/>
    <col min="12553" max="12800" width="11.42578125" style="2"/>
    <col min="12801" max="12801" width="1.85546875" style="2" customWidth="1"/>
    <col min="12802" max="12807" width="11.42578125" style="2" customWidth="1"/>
    <col min="12808" max="12808" width="18.140625" style="2" customWidth="1"/>
    <col min="12809" max="13056" width="11.42578125" style="2"/>
    <col min="13057" max="13057" width="1.85546875" style="2" customWidth="1"/>
    <col min="13058" max="13063" width="11.42578125" style="2" customWidth="1"/>
    <col min="13064" max="13064" width="18.140625" style="2" customWidth="1"/>
    <col min="13065" max="13312" width="11.42578125" style="2"/>
    <col min="13313" max="13313" width="1.85546875" style="2" customWidth="1"/>
    <col min="13314" max="13319" width="11.42578125" style="2" customWidth="1"/>
    <col min="13320" max="13320" width="18.140625" style="2" customWidth="1"/>
    <col min="13321" max="13568" width="11.42578125" style="2"/>
    <col min="13569" max="13569" width="1.85546875" style="2" customWidth="1"/>
    <col min="13570" max="13575" width="11.42578125" style="2" customWidth="1"/>
    <col min="13576" max="13576" width="18.140625" style="2" customWidth="1"/>
    <col min="13577" max="13824" width="11.42578125" style="2"/>
    <col min="13825" max="13825" width="1.85546875" style="2" customWidth="1"/>
    <col min="13826" max="13831" width="11.42578125" style="2" customWidth="1"/>
    <col min="13832" max="13832" width="18.140625" style="2" customWidth="1"/>
    <col min="13833" max="14080" width="11.42578125" style="2"/>
    <col min="14081" max="14081" width="1.85546875" style="2" customWidth="1"/>
    <col min="14082" max="14087" width="11.42578125" style="2" customWidth="1"/>
    <col min="14088" max="14088" width="18.140625" style="2" customWidth="1"/>
    <col min="14089" max="14336" width="11.42578125" style="2"/>
    <col min="14337" max="14337" width="1.85546875" style="2" customWidth="1"/>
    <col min="14338" max="14343" width="11.42578125" style="2" customWidth="1"/>
    <col min="14344" max="14344" width="18.140625" style="2" customWidth="1"/>
    <col min="14345" max="14592" width="11.42578125" style="2"/>
    <col min="14593" max="14593" width="1.85546875" style="2" customWidth="1"/>
    <col min="14594" max="14599" width="11.42578125" style="2" customWidth="1"/>
    <col min="14600" max="14600" width="18.140625" style="2" customWidth="1"/>
    <col min="14601" max="14848" width="11.42578125" style="2"/>
    <col min="14849" max="14849" width="1.85546875" style="2" customWidth="1"/>
    <col min="14850" max="14855" width="11.42578125" style="2" customWidth="1"/>
    <col min="14856" max="14856" width="18.140625" style="2" customWidth="1"/>
    <col min="14857" max="15104" width="11.42578125" style="2"/>
    <col min="15105" max="15105" width="1.85546875" style="2" customWidth="1"/>
    <col min="15106" max="15111" width="11.42578125" style="2" customWidth="1"/>
    <col min="15112" max="15112" width="18.140625" style="2" customWidth="1"/>
    <col min="15113" max="15360" width="11.42578125" style="2"/>
    <col min="15361" max="15361" width="1.85546875" style="2" customWidth="1"/>
    <col min="15362" max="15367" width="11.42578125" style="2" customWidth="1"/>
    <col min="15368" max="15368" width="18.140625" style="2" customWidth="1"/>
    <col min="15369" max="15616" width="11.42578125" style="2"/>
    <col min="15617" max="15617" width="1.85546875" style="2" customWidth="1"/>
    <col min="15618" max="15623" width="11.42578125" style="2" customWidth="1"/>
    <col min="15624" max="15624" width="18.140625" style="2" customWidth="1"/>
    <col min="15625" max="15872" width="11.42578125" style="2"/>
    <col min="15873" max="15873" width="1.85546875" style="2" customWidth="1"/>
    <col min="15874" max="15879" width="11.42578125" style="2" customWidth="1"/>
    <col min="15880" max="15880" width="18.140625" style="2" customWidth="1"/>
    <col min="15881" max="16128" width="11.42578125" style="2"/>
    <col min="16129" max="16129" width="1.85546875" style="2" customWidth="1"/>
    <col min="16130" max="16135" width="11.42578125" style="2" customWidth="1"/>
    <col min="16136" max="16136" width="18.140625" style="2" customWidth="1"/>
    <col min="16137" max="16384" width="11.42578125" style="2"/>
  </cols>
  <sheetData>
    <row r="7" spans="2:11" ht="18" x14ac:dyDescent="0.25">
      <c r="B7" s="689" t="s">
        <v>0</v>
      </c>
      <c r="C7" s="689"/>
      <c r="D7" s="689"/>
      <c r="E7" s="689"/>
      <c r="F7" s="689"/>
      <c r="G7" s="689"/>
      <c r="H7" s="689"/>
      <c r="I7" s="689"/>
      <c r="J7" s="1"/>
      <c r="K7" s="1"/>
    </row>
    <row r="8" spans="2:11" s="3" customFormat="1" x14ac:dyDescent="0.25">
      <c r="B8" s="2"/>
      <c r="C8" s="2"/>
      <c r="D8" s="2"/>
      <c r="E8" s="2"/>
      <c r="F8" s="2"/>
      <c r="G8" s="2"/>
      <c r="H8" s="2"/>
      <c r="I8" s="2"/>
      <c r="J8" s="2"/>
      <c r="K8" s="2"/>
    </row>
    <row r="9" spans="2:11" ht="43.9" customHeight="1" x14ac:dyDescent="0.25">
      <c r="B9" s="690" t="s">
        <v>1</v>
      </c>
      <c r="C9" s="690"/>
      <c r="D9" s="690"/>
      <c r="E9" s="690"/>
      <c r="F9" s="690"/>
      <c r="G9" s="690"/>
      <c r="H9" s="690"/>
      <c r="I9" s="690"/>
      <c r="J9" s="4"/>
      <c r="K9" s="4"/>
    </row>
    <row r="10" spans="2:11" ht="14.45" customHeight="1" x14ac:dyDescent="0.25">
      <c r="I10" s="5" t="s">
        <v>2</v>
      </c>
    </row>
    <row r="11" spans="2:11" ht="6.75" customHeight="1" x14ac:dyDescent="0.25"/>
    <row r="135" spans="9:9" x14ac:dyDescent="0.25">
      <c r="I135" s="5"/>
    </row>
  </sheetData>
  <mergeCells count="2">
    <mergeCell ref="B7:I7"/>
    <mergeCell ref="B9:I9"/>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B0F0"/>
  </sheetPr>
  <dimension ref="B2:M5"/>
  <sheetViews>
    <sheetView workbookViewId="0"/>
  </sheetViews>
  <sheetFormatPr defaultColWidth="11.42578125" defaultRowHeight="15" x14ac:dyDescent="0.25"/>
  <cols>
    <col min="1" max="1" width="1" style="2" customWidth="1"/>
    <col min="2" max="7" width="11.42578125" style="2" customWidth="1"/>
    <col min="8" max="8" width="18.140625" style="2" customWidth="1"/>
    <col min="9" max="11" width="11.42578125" style="2" customWidth="1"/>
    <col min="12" max="12" width="8.7109375" style="2" customWidth="1"/>
    <col min="13" max="13" width="11.42578125" style="2" hidden="1" customWidth="1"/>
    <col min="14" max="256" width="11.42578125" style="2"/>
    <col min="257" max="257" width="1" style="2" customWidth="1"/>
    <col min="258" max="263" width="11.42578125" style="2" customWidth="1"/>
    <col min="264" max="264" width="18.140625" style="2" customWidth="1"/>
    <col min="265" max="267" width="11.42578125" style="2" customWidth="1"/>
    <col min="268" max="268" width="8.7109375" style="2" customWidth="1"/>
    <col min="269" max="269" width="0" style="2" hidden="1" customWidth="1"/>
    <col min="270" max="512" width="11.42578125" style="2"/>
    <col min="513" max="513" width="1" style="2" customWidth="1"/>
    <col min="514" max="519" width="11.42578125" style="2" customWidth="1"/>
    <col min="520" max="520" width="18.140625" style="2" customWidth="1"/>
    <col min="521" max="523" width="11.42578125" style="2" customWidth="1"/>
    <col min="524" max="524" width="8.7109375" style="2" customWidth="1"/>
    <col min="525" max="525" width="0" style="2" hidden="1" customWidth="1"/>
    <col min="526" max="768" width="11.42578125" style="2"/>
    <col min="769" max="769" width="1" style="2" customWidth="1"/>
    <col min="770" max="775" width="11.42578125" style="2" customWidth="1"/>
    <col min="776" max="776" width="18.140625" style="2" customWidth="1"/>
    <col min="777" max="779" width="11.42578125" style="2" customWidth="1"/>
    <col min="780" max="780" width="8.7109375" style="2" customWidth="1"/>
    <col min="781" max="781" width="0" style="2" hidden="1" customWidth="1"/>
    <col min="782" max="1024" width="11.42578125" style="2"/>
    <col min="1025" max="1025" width="1" style="2" customWidth="1"/>
    <col min="1026" max="1031" width="11.42578125" style="2" customWidth="1"/>
    <col min="1032" max="1032" width="18.140625" style="2" customWidth="1"/>
    <col min="1033" max="1035" width="11.42578125" style="2" customWidth="1"/>
    <col min="1036" max="1036" width="8.7109375" style="2" customWidth="1"/>
    <col min="1037" max="1037" width="0" style="2" hidden="1" customWidth="1"/>
    <col min="1038" max="1280" width="11.42578125" style="2"/>
    <col min="1281" max="1281" width="1" style="2" customWidth="1"/>
    <col min="1282" max="1287" width="11.42578125" style="2" customWidth="1"/>
    <col min="1288" max="1288" width="18.140625" style="2" customWidth="1"/>
    <col min="1289" max="1291" width="11.42578125" style="2" customWidth="1"/>
    <col min="1292" max="1292" width="8.7109375" style="2" customWidth="1"/>
    <col min="1293" max="1293" width="0" style="2" hidden="1" customWidth="1"/>
    <col min="1294" max="1536" width="11.42578125" style="2"/>
    <col min="1537" max="1537" width="1" style="2" customWidth="1"/>
    <col min="1538" max="1543" width="11.42578125" style="2" customWidth="1"/>
    <col min="1544" max="1544" width="18.140625" style="2" customWidth="1"/>
    <col min="1545" max="1547" width="11.42578125" style="2" customWidth="1"/>
    <col min="1548" max="1548" width="8.7109375" style="2" customWidth="1"/>
    <col min="1549" max="1549" width="0" style="2" hidden="1" customWidth="1"/>
    <col min="1550" max="1792" width="11.42578125" style="2"/>
    <col min="1793" max="1793" width="1" style="2" customWidth="1"/>
    <col min="1794" max="1799" width="11.42578125" style="2" customWidth="1"/>
    <col min="1800" max="1800" width="18.140625" style="2" customWidth="1"/>
    <col min="1801" max="1803" width="11.42578125" style="2" customWidth="1"/>
    <col min="1804" max="1804" width="8.7109375" style="2" customWidth="1"/>
    <col min="1805" max="1805" width="0" style="2" hidden="1" customWidth="1"/>
    <col min="1806" max="2048" width="11.42578125" style="2"/>
    <col min="2049" max="2049" width="1" style="2" customWidth="1"/>
    <col min="2050" max="2055" width="11.42578125" style="2" customWidth="1"/>
    <col min="2056" max="2056" width="18.140625" style="2" customWidth="1"/>
    <col min="2057" max="2059" width="11.42578125" style="2" customWidth="1"/>
    <col min="2060" max="2060" width="8.7109375" style="2" customWidth="1"/>
    <col min="2061" max="2061" width="0" style="2" hidden="1" customWidth="1"/>
    <col min="2062" max="2304" width="11.42578125" style="2"/>
    <col min="2305" max="2305" width="1" style="2" customWidth="1"/>
    <col min="2306" max="2311" width="11.42578125" style="2" customWidth="1"/>
    <col min="2312" max="2312" width="18.140625" style="2" customWidth="1"/>
    <col min="2313" max="2315" width="11.42578125" style="2" customWidth="1"/>
    <col min="2316" max="2316" width="8.7109375" style="2" customWidth="1"/>
    <col min="2317" max="2317" width="0" style="2" hidden="1" customWidth="1"/>
    <col min="2318" max="2560" width="11.42578125" style="2"/>
    <col min="2561" max="2561" width="1" style="2" customWidth="1"/>
    <col min="2562" max="2567" width="11.42578125" style="2" customWidth="1"/>
    <col min="2568" max="2568" width="18.140625" style="2" customWidth="1"/>
    <col min="2569" max="2571" width="11.42578125" style="2" customWidth="1"/>
    <col min="2572" max="2572" width="8.7109375" style="2" customWidth="1"/>
    <col min="2573" max="2573" width="0" style="2" hidden="1" customWidth="1"/>
    <col min="2574" max="2816" width="11.42578125" style="2"/>
    <col min="2817" max="2817" width="1" style="2" customWidth="1"/>
    <col min="2818" max="2823" width="11.42578125" style="2" customWidth="1"/>
    <col min="2824" max="2824" width="18.140625" style="2" customWidth="1"/>
    <col min="2825" max="2827" width="11.42578125" style="2" customWidth="1"/>
    <col min="2828" max="2828" width="8.7109375" style="2" customWidth="1"/>
    <col min="2829" max="2829" width="0" style="2" hidden="1" customWidth="1"/>
    <col min="2830" max="3072" width="11.42578125" style="2"/>
    <col min="3073" max="3073" width="1" style="2" customWidth="1"/>
    <col min="3074" max="3079" width="11.42578125" style="2" customWidth="1"/>
    <col min="3080" max="3080" width="18.140625" style="2" customWidth="1"/>
    <col min="3081" max="3083" width="11.42578125" style="2" customWidth="1"/>
    <col min="3084" max="3084" width="8.7109375" style="2" customWidth="1"/>
    <col min="3085" max="3085" width="0" style="2" hidden="1" customWidth="1"/>
    <col min="3086" max="3328" width="11.42578125" style="2"/>
    <col min="3329" max="3329" width="1" style="2" customWidth="1"/>
    <col min="3330" max="3335" width="11.42578125" style="2" customWidth="1"/>
    <col min="3336" max="3336" width="18.140625" style="2" customWidth="1"/>
    <col min="3337" max="3339" width="11.42578125" style="2" customWidth="1"/>
    <col min="3340" max="3340" width="8.7109375" style="2" customWidth="1"/>
    <col min="3341" max="3341" width="0" style="2" hidden="1" customWidth="1"/>
    <col min="3342" max="3584" width="11.42578125" style="2"/>
    <col min="3585" max="3585" width="1" style="2" customWidth="1"/>
    <col min="3586" max="3591" width="11.42578125" style="2" customWidth="1"/>
    <col min="3592" max="3592" width="18.140625" style="2" customWidth="1"/>
    <col min="3593" max="3595" width="11.42578125" style="2" customWidth="1"/>
    <col min="3596" max="3596" width="8.7109375" style="2" customWidth="1"/>
    <col min="3597" max="3597" width="0" style="2" hidden="1" customWidth="1"/>
    <col min="3598" max="3840" width="11.42578125" style="2"/>
    <col min="3841" max="3841" width="1" style="2" customWidth="1"/>
    <col min="3842" max="3847" width="11.42578125" style="2" customWidth="1"/>
    <col min="3848" max="3848" width="18.140625" style="2" customWidth="1"/>
    <col min="3849" max="3851" width="11.42578125" style="2" customWidth="1"/>
    <col min="3852" max="3852" width="8.7109375" style="2" customWidth="1"/>
    <col min="3853" max="3853" width="0" style="2" hidden="1" customWidth="1"/>
    <col min="3854" max="4096" width="11.42578125" style="2"/>
    <col min="4097" max="4097" width="1" style="2" customWidth="1"/>
    <col min="4098" max="4103" width="11.42578125" style="2" customWidth="1"/>
    <col min="4104" max="4104" width="18.140625" style="2" customWidth="1"/>
    <col min="4105" max="4107" width="11.42578125" style="2" customWidth="1"/>
    <col min="4108" max="4108" width="8.7109375" style="2" customWidth="1"/>
    <col min="4109" max="4109" width="0" style="2" hidden="1" customWidth="1"/>
    <col min="4110" max="4352" width="11.42578125" style="2"/>
    <col min="4353" max="4353" width="1" style="2" customWidth="1"/>
    <col min="4354" max="4359" width="11.42578125" style="2" customWidth="1"/>
    <col min="4360" max="4360" width="18.140625" style="2" customWidth="1"/>
    <col min="4361" max="4363" width="11.42578125" style="2" customWidth="1"/>
    <col min="4364" max="4364" width="8.7109375" style="2" customWidth="1"/>
    <col min="4365" max="4365" width="0" style="2" hidden="1" customWidth="1"/>
    <col min="4366" max="4608" width="11.42578125" style="2"/>
    <col min="4609" max="4609" width="1" style="2" customWidth="1"/>
    <col min="4610" max="4615" width="11.42578125" style="2" customWidth="1"/>
    <col min="4616" max="4616" width="18.140625" style="2" customWidth="1"/>
    <col min="4617" max="4619" width="11.42578125" style="2" customWidth="1"/>
    <col min="4620" max="4620" width="8.7109375" style="2" customWidth="1"/>
    <col min="4621" max="4621" width="0" style="2" hidden="1" customWidth="1"/>
    <col min="4622" max="4864" width="11.42578125" style="2"/>
    <col min="4865" max="4865" width="1" style="2" customWidth="1"/>
    <col min="4866" max="4871" width="11.42578125" style="2" customWidth="1"/>
    <col min="4872" max="4872" width="18.140625" style="2" customWidth="1"/>
    <col min="4873" max="4875" width="11.42578125" style="2" customWidth="1"/>
    <col min="4876" max="4876" width="8.7109375" style="2" customWidth="1"/>
    <col min="4877" max="4877" width="0" style="2" hidden="1" customWidth="1"/>
    <col min="4878" max="5120" width="11.42578125" style="2"/>
    <col min="5121" max="5121" width="1" style="2" customWidth="1"/>
    <col min="5122" max="5127" width="11.42578125" style="2" customWidth="1"/>
    <col min="5128" max="5128" width="18.140625" style="2" customWidth="1"/>
    <col min="5129" max="5131" width="11.42578125" style="2" customWidth="1"/>
    <col min="5132" max="5132" width="8.7109375" style="2" customWidth="1"/>
    <col min="5133" max="5133" width="0" style="2" hidden="1" customWidth="1"/>
    <col min="5134" max="5376" width="11.42578125" style="2"/>
    <col min="5377" max="5377" width="1" style="2" customWidth="1"/>
    <col min="5378" max="5383" width="11.42578125" style="2" customWidth="1"/>
    <col min="5384" max="5384" width="18.140625" style="2" customWidth="1"/>
    <col min="5385" max="5387" width="11.42578125" style="2" customWidth="1"/>
    <col min="5388" max="5388" width="8.7109375" style="2" customWidth="1"/>
    <col min="5389" max="5389" width="0" style="2" hidden="1" customWidth="1"/>
    <col min="5390" max="5632" width="11.42578125" style="2"/>
    <col min="5633" max="5633" width="1" style="2" customWidth="1"/>
    <col min="5634" max="5639" width="11.42578125" style="2" customWidth="1"/>
    <col min="5640" max="5640" width="18.140625" style="2" customWidth="1"/>
    <col min="5641" max="5643" width="11.42578125" style="2" customWidth="1"/>
    <col min="5644" max="5644" width="8.7109375" style="2" customWidth="1"/>
    <col min="5645" max="5645" width="0" style="2" hidden="1" customWidth="1"/>
    <col min="5646" max="5888" width="11.42578125" style="2"/>
    <col min="5889" max="5889" width="1" style="2" customWidth="1"/>
    <col min="5890" max="5895" width="11.42578125" style="2" customWidth="1"/>
    <col min="5896" max="5896" width="18.140625" style="2" customWidth="1"/>
    <col min="5897" max="5899" width="11.42578125" style="2" customWidth="1"/>
    <col min="5900" max="5900" width="8.7109375" style="2" customWidth="1"/>
    <col min="5901" max="5901" width="0" style="2" hidden="1" customWidth="1"/>
    <col min="5902" max="6144" width="11.42578125" style="2"/>
    <col min="6145" max="6145" width="1" style="2" customWidth="1"/>
    <col min="6146" max="6151" width="11.42578125" style="2" customWidth="1"/>
    <col min="6152" max="6152" width="18.140625" style="2" customWidth="1"/>
    <col min="6153" max="6155" width="11.42578125" style="2" customWidth="1"/>
    <col min="6156" max="6156" width="8.7109375" style="2" customWidth="1"/>
    <col min="6157" max="6157" width="0" style="2" hidden="1" customWidth="1"/>
    <col min="6158" max="6400" width="11.42578125" style="2"/>
    <col min="6401" max="6401" width="1" style="2" customWidth="1"/>
    <col min="6402" max="6407" width="11.42578125" style="2" customWidth="1"/>
    <col min="6408" max="6408" width="18.140625" style="2" customWidth="1"/>
    <col min="6409" max="6411" width="11.42578125" style="2" customWidth="1"/>
    <col min="6412" max="6412" width="8.7109375" style="2" customWidth="1"/>
    <col min="6413" max="6413" width="0" style="2" hidden="1" customWidth="1"/>
    <col min="6414" max="6656" width="11.42578125" style="2"/>
    <col min="6657" max="6657" width="1" style="2" customWidth="1"/>
    <col min="6658" max="6663" width="11.42578125" style="2" customWidth="1"/>
    <col min="6664" max="6664" width="18.140625" style="2" customWidth="1"/>
    <col min="6665" max="6667" width="11.42578125" style="2" customWidth="1"/>
    <col min="6668" max="6668" width="8.7109375" style="2" customWidth="1"/>
    <col min="6669" max="6669" width="0" style="2" hidden="1" customWidth="1"/>
    <col min="6670" max="6912" width="11.42578125" style="2"/>
    <col min="6913" max="6913" width="1" style="2" customWidth="1"/>
    <col min="6914" max="6919" width="11.42578125" style="2" customWidth="1"/>
    <col min="6920" max="6920" width="18.140625" style="2" customWidth="1"/>
    <col min="6921" max="6923" width="11.42578125" style="2" customWidth="1"/>
    <col min="6924" max="6924" width="8.7109375" style="2" customWidth="1"/>
    <col min="6925" max="6925" width="0" style="2" hidden="1" customWidth="1"/>
    <col min="6926" max="7168" width="11.42578125" style="2"/>
    <col min="7169" max="7169" width="1" style="2" customWidth="1"/>
    <col min="7170" max="7175" width="11.42578125" style="2" customWidth="1"/>
    <col min="7176" max="7176" width="18.140625" style="2" customWidth="1"/>
    <col min="7177" max="7179" width="11.42578125" style="2" customWidth="1"/>
    <col min="7180" max="7180" width="8.7109375" style="2" customWidth="1"/>
    <col min="7181" max="7181" width="0" style="2" hidden="1" customWidth="1"/>
    <col min="7182" max="7424" width="11.42578125" style="2"/>
    <col min="7425" max="7425" width="1" style="2" customWidth="1"/>
    <col min="7426" max="7431" width="11.42578125" style="2" customWidth="1"/>
    <col min="7432" max="7432" width="18.140625" style="2" customWidth="1"/>
    <col min="7433" max="7435" width="11.42578125" style="2" customWidth="1"/>
    <col min="7436" max="7436" width="8.7109375" style="2" customWidth="1"/>
    <col min="7437" max="7437" width="0" style="2" hidden="1" customWidth="1"/>
    <col min="7438" max="7680" width="11.42578125" style="2"/>
    <col min="7681" max="7681" width="1" style="2" customWidth="1"/>
    <col min="7682" max="7687" width="11.42578125" style="2" customWidth="1"/>
    <col min="7688" max="7688" width="18.140625" style="2" customWidth="1"/>
    <col min="7689" max="7691" width="11.42578125" style="2" customWidth="1"/>
    <col min="7692" max="7692" width="8.7109375" style="2" customWidth="1"/>
    <col min="7693" max="7693" width="0" style="2" hidden="1" customWidth="1"/>
    <col min="7694" max="7936" width="11.42578125" style="2"/>
    <col min="7937" max="7937" width="1" style="2" customWidth="1"/>
    <col min="7938" max="7943" width="11.42578125" style="2" customWidth="1"/>
    <col min="7944" max="7944" width="18.140625" style="2" customWidth="1"/>
    <col min="7945" max="7947" width="11.42578125" style="2" customWidth="1"/>
    <col min="7948" max="7948" width="8.7109375" style="2" customWidth="1"/>
    <col min="7949" max="7949" width="0" style="2" hidden="1" customWidth="1"/>
    <col min="7950" max="8192" width="11.42578125" style="2"/>
    <col min="8193" max="8193" width="1" style="2" customWidth="1"/>
    <col min="8194" max="8199" width="11.42578125" style="2" customWidth="1"/>
    <col min="8200" max="8200" width="18.140625" style="2" customWidth="1"/>
    <col min="8201" max="8203" width="11.42578125" style="2" customWidth="1"/>
    <col min="8204" max="8204" width="8.7109375" style="2" customWidth="1"/>
    <col min="8205" max="8205" width="0" style="2" hidden="1" customWidth="1"/>
    <col min="8206" max="8448" width="11.42578125" style="2"/>
    <col min="8449" max="8449" width="1" style="2" customWidth="1"/>
    <col min="8450" max="8455" width="11.42578125" style="2" customWidth="1"/>
    <col min="8456" max="8456" width="18.140625" style="2" customWidth="1"/>
    <col min="8457" max="8459" width="11.42578125" style="2" customWidth="1"/>
    <col min="8460" max="8460" width="8.7109375" style="2" customWidth="1"/>
    <col min="8461" max="8461" width="0" style="2" hidden="1" customWidth="1"/>
    <col min="8462" max="8704" width="11.42578125" style="2"/>
    <col min="8705" max="8705" width="1" style="2" customWidth="1"/>
    <col min="8706" max="8711" width="11.42578125" style="2" customWidth="1"/>
    <col min="8712" max="8712" width="18.140625" style="2" customWidth="1"/>
    <col min="8713" max="8715" width="11.42578125" style="2" customWidth="1"/>
    <col min="8716" max="8716" width="8.7109375" style="2" customWidth="1"/>
    <col min="8717" max="8717" width="0" style="2" hidden="1" customWidth="1"/>
    <col min="8718" max="8960" width="11.42578125" style="2"/>
    <col min="8961" max="8961" width="1" style="2" customWidth="1"/>
    <col min="8962" max="8967" width="11.42578125" style="2" customWidth="1"/>
    <col min="8968" max="8968" width="18.140625" style="2" customWidth="1"/>
    <col min="8969" max="8971" width="11.42578125" style="2" customWidth="1"/>
    <col min="8972" max="8972" width="8.7109375" style="2" customWidth="1"/>
    <col min="8973" max="8973" width="0" style="2" hidden="1" customWidth="1"/>
    <col min="8974" max="9216" width="11.42578125" style="2"/>
    <col min="9217" max="9217" width="1" style="2" customWidth="1"/>
    <col min="9218" max="9223" width="11.42578125" style="2" customWidth="1"/>
    <col min="9224" max="9224" width="18.140625" style="2" customWidth="1"/>
    <col min="9225" max="9227" width="11.42578125" style="2" customWidth="1"/>
    <col min="9228" max="9228" width="8.7109375" style="2" customWidth="1"/>
    <col min="9229" max="9229" width="0" style="2" hidden="1" customWidth="1"/>
    <col min="9230" max="9472" width="11.42578125" style="2"/>
    <col min="9473" max="9473" width="1" style="2" customWidth="1"/>
    <col min="9474" max="9479" width="11.42578125" style="2" customWidth="1"/>
    <col min="9480" max="9480" width="18.140625" style="2" customWidth="1"/>
    <col min="9481" max="9483" width="11.42578125" style="2" customWidth="1"/>
    <col min="9484" max="9484" width="8.7109375" style="2" customWidth="1"/>
    <col min="9485" max="9485" width="0" style="2" hidden="1" customWidth="1"/>
    <col min="9486" max="9728" width="11.42578125" style="2"/>
    <col min="9729" max="9729" width="1" style="2" customWidth="1"/>
    <col min="9730" max="9735" width="11.42578125" style="2" customWidth="1"/>
    <col min="9736" max="9736" width="18.140625" style="2" customWidth="1"/>
    <col min="9737" max="9739" width="11.42578125" style="2" customWidth="1"/>
    <col min="9740" max="9740" width="8.7109375" style="2" customWidth="1"/>
    <col min="9741" max="9741" width="0" style="2" hidden="1" customWidth="1"/>
    <col min="9742" max="9984" width="11.42578125" style="2"/>
    <col min="9985" max="9985" width="1" style="2" customWidth="1"/>
    <col min="9986" max="9991" width="11.42578125" style="2" customWidth="1"/>
    <col min="9992" max="9992" width="18.140625" style="2" customWidth="1"/>
    <col min="9993" max="9995" width="11.42578125" style="2" customWidth="1"/>
    <col min="9996" max="9996" width="8.7109375" style="2" customWidth="1"/>
    <col min="9997" max="9997" width="0" style="2" hidden="1" customWidth="1"/>
    <col min="9998" max="10240" width="11.42578125" style="2"/>
    <col min="10241" max="10241" width="1" style="2" customWidth="1"/>
    <col min="10242" max="10247" width="11.42578125" style="2" customWidth="1"/>
    <col min="10248" max="10248" width="18.140625" style="2" customWidth="1"/>
    <col min="10249" max="10251" width="11.42578125" style="2" customWidth="1"/>
    <col min="10252" max="10252" width="8.7109375" style="2" customWidth="1"/>
    <col min="10253" max="10253" width="0" style="2" hidden="1" customWidth="1"/>
    <col min="10254" max="10496" width="11.42578125" style="2"/>
    <col min="10497" max="10497" width="1" style="2" customWidth="1"/>
    <col min="10498" max="10503" width="11.42578125" style="2" customWidth="1"/>
    <col min="10504" max="10504" width="18.140625" style="2" customWidth="1"/>
    <col min="10505" max="10507" width="11.42578125" style="2" customWidth="1"/>
    <col min="10508" max="10508" width="8.7109375" style="2" customWidth="1"/>
    <col min="10509" max="10509" width="0" style="2" hidden="1" customWidth="1"/>
    <col min="10510" max="10752" width="11.42578125" style="2"/>
    <col min="10753" max="10753" width="1" style="2" customWidth="1"/>
    <col min="10754" max="10759" width="11.42578125" style="2" customWidth="1"/>
    <col min="10760" max="10760" width="18.140625" style="2" customWidth="1"/>
    <col min="10761" max="10763" width="11.42578125" style="2" customWidth="1"/>
    <col min="10764" max="10764" width="8.7109375" style="2" customWidth="1"/>
    <col min="10765" max="10765" width="0" style="2" hidden="1" customWidth="1"/>
    <col min="10766" max="11008" width="11.42578125" style="2"/>
    <col min="11009" max="11009" width="1" style="2" customWidth="1"/>
    <col min="11010" max="11015" width="11.42578125" style="2" customWidth="1"/>
    <col min="11016" max="11016" width="18.140625" style="2" customWidth="1"/>
    <col min="11017" max="11019" width="11.42578125" style="2" customWidth="1"/>
    <col min="11020" max="11020" width="8.7109375" style="2" customWidth="1"/>
    <col min="11021" max="11021" width="0" style="2" hidden="1" customWidth="1"/>
    <col min="11022" max="11264" width="11.42578125" style="2"/>
    <col min="11265" max="11265" width="1" style="2" customWidth="1"/>
    <col min="11266" max="11271" width="11.42578125" style="2" customWidth="1"/>
    <col min="11272" max="11272" width="18.140625" style="2" customWidth="1"/>
    <col min="11273" max="11275" width="11.42578125" style="2" customWidth="1"/>
    <col min="11276" max="11276" width="8.7109375" style="2" customWidth="1"/>
    <col min="11277" max="11277" width="0" style="2" hidden="1" customWidth="1"/>
    <col min="11278" max="11520" width="11.42578125" style="2"/>
    <col min="11521" max="11521" width="1" style="2" customWidth="1"/>
    <col min="11522" max="11527" width="11.42578125" style="2" customWidth="1"/>
    <col min="11528" max="11528" width="18.140625" style="2" customWidth="1"/>
    <col min="11529" max="11531" width="11.42578125" style="2" customWidth="1"/>
    <col min="11532" max="11532" width="8.7109375" style="2" customWidth="1"/>
    <col min="11533" max="11533" width="0" style="2" hidden="1" customWidth="1"/>
    <col min="11534" max="11776" width="11.42578125" style="2"/>
    <col min="11777" max="11777" width="1" style="2" customWidth="1"/>
    <col min="11778" max="11783" width="11.42578125" style="2" customWidth="1"/>
    <col min="11784" max="11784" width="18.140625" style="2" customWidth="1"/>
    <col min="11785" max="11787" width="11.42578125" style="2" customWidth="1"/>
    <col min="11788" max="11788" width="8.7109375" style="2" customWidth="1"/>
    <col min="11789" max="11789" width="0" style="2" hidden="1" customWidth="1"/>
    <col min="11790" max="12032" width="11.42578125" style="2"/>
    <col min="12033" max="12033" width="1" style="2" customWidth="1"/>
    <col min="12034" max="12039" width="11.42578125" style="2" customWidth="1"/>
    <col min="12040" max="12040" width="18.140625" style="2" customWidth="1"/>
    <col min="12041" max="12043" width="11.42578125" style="2" customWidth="1"/>
    <col min="12044" max="12044" width="8.7109375" style="2" customWidth="1"/>
    <col min="12045" max="12045" width="0" style="2" hidden="1" customWidth="1"/>
    <col min="12046" max="12288" width="11.42578125" style="2"/>
    <col min="12289" max="12289" width="1" style="2" customWidth="1"/>
    <col min="12290" max="12295" width="11.42578125" style="2" customWidth="1"/>
    <col min="12296" max="12296" width="18.140625" style="2" customWidth="1"/>
    <col min="12297" max="12299" width="11.42578125" style="2" customWidth="1"/>
    <col min="12300" max="12300" width="8.7109375" style="2" customWidth="1"/>
    <col min="12301" max="12301" width="0" style="2" hidden="1" customWidth="1"/>
    <col min="12302" max="12544" width="11.42578125" style="2"/>
    <col min="12545" max="12545" width="1" style="2" customWidth="1"/>
    <col min="12546" max="12551" width="11.42578125" style="2" customWidth="1"/>
    <col min="12552" max="12552" width="18.140625" style="2" customWidth="1"/>
    <col min="12553" max="12555" width="11.42578125" style="2" customWidth="1"/>
    <col min="12556" max="12556" width="8.7109375" style="2" customWidth="1"/>
    <col min="12557" max="12557" width="0" style="2" hidden="1" customWidth="1"/>
    <col min="12558" max="12800" width="11.42578125" style="2"/>
    <col min="12801" max="12801" width="1" style="2" customWidth="1"/>
    <col min="12802" max="12807" width="11.42578125" style="2" customWidth="1"/>
    <col min="12808" max="12808" width="18.140625" style="2" customWidth="1"/>
    <col min="12809" max="12811" width="11.42578125" style="2" customWidth="1"/>
    <col min="12812" max="12812" width="8.7109375" style="2" customWidth="1"/>
    <col min="12813" max="12813" width="0" style="2" hidden="1" customWidth="1"/>
    <col min="12814" max="13056" width="11.42578125" style="2"/>
    <col min="13057" max="13057" width="1" style="2" customWidth="1"/>
    <col min="13058" max="13063" width="11.42578125" style="2" customWidth="1"/>
    <col min="13064" max="13064" width="18.140625" style="2" customWidth="1"/>
    <col min="13065" max="13067" width="11.42578125" style="2" customWidth="1"/>
    <col min="13068" max="13068" width="8.7109375" style="2" customWidth="1"/>
    <col min="13069" max="13069" width="0" style="2" hidden="1" customWidth="1"/>
    <col min="13070" max="13312" width="11.42578125" style="2"/>
    <col min="13313" max="13313" width="1" style="2" customWidth="1"/>
    <col min="13314" max="13319" width="11.42578125" style="2" customWidth="1"/>
    <col min="13320" max="13320" width="18.140625" style="2" customWidth="1"/>
    <col min="13321" max="13323" width="11.42578125" style="2" customWidth="1"/>
    <col min="13324" max="13324" width="8.7109375" style="2" customWidth="1"/>
    <col min="13325" max="13325" width="0" style="2" hidden="1" customWidth="1"/>
    <col min="13326" max="13568" width="11.42578125" style="2"/>
    <col min="13569" max="13569" width="1" style="2" customWidth="1"/>
    <col min="13570" max="13575" width="11.42578125" style="2" customWidth="1"/>
    <col min="13576" max="13576" width="18.140625" style="2" customWidth="1"/>
    <col min="13577" max="13579" width="11.42578125" style="2" customWidth="1"/>
    <col min="13580" max="13580" width="8.7109375" style="2" customWidth="1"/>
    <col min="13581" max="13581" width="0" style="2" hidden="1" customWidth="1"/>
    <col min="13582" max="13824" width="11.42578125" style="2"/>
    <col min="13825" max="13825" width="1" style="2" customWidth="1"/>
    <col min="13826" max="13831" width="11.42578125" style="2" customWidth="1"/>
    <col min="13832" max="13832" width="18.140625" style="2" customWidth="1"/>
    <col min="13833" max="13835" width="11.42578125" style="2" customWidth="1"/>
    <col min="13836" max="13836" width="8.7109375" style="2" customWidth="1"/>
    <col min="13837" max="13837" width="0" style="2" hidden="1" customWidth="1"/>
    <col min="13838" max="14080" width="11.42578125" style="2"/>
    <col min="14081" max="14081" width="1" style="2" customWidth="1"/>
    <col min="14082" max="14087" width="11.42578125" style="2" customWidth="1"/>
    <col min="14088" max="14088" width="18.140625" style="2" customWidth="1"/>
    <col min="14089" max="14091" width="11.42578125" style="2" customWidth="1"/>
    <col min="14092" max="14092" width="8.7109375" style="2" customWidth="1"/>
    <col min="14093" max="14093" width="0" style="2" hidden="1" customWidth="1"/>
    <col min="14094" max="14336" width="11.42578125" style="2"/>
    <col min="14337" max="14337" width="1" style="2" customWidth="1"/>
    <col min="14338" max="14343" width="11.42578125" style="2" customWidth="1"/>
    <col min="14344" max="14344" width="18.140625" style="2" customWidth="1"/>
    <col min="14345" max="14347" width="11.42578125" style="2" customWidth="1"/>
    <col min="14348" max="14348" width="8.7109375" style="2" customWidth="1"/>
    <col min="14349" max="14349" width="0" style="2" hidden="1" customWidth="1"/>
    <col min="14350" max="14592" width="11.42578125" style="2"/>
    <col min="14593" max="14593" width="1" style="2" customWidth="1"/>
    <col min="14594" max="14599" width="11.42578125" style="2" customWidth="1"/>
    <col min="14600" max="14600" width="18.140625" style="2" customWidth="1"/>
    <col min="14601" max="14603" width="11.42578125" style="2" customWidth="1"/>
    <col min="14604" max="14604" width="8.7109375" style="2" customWidth="1"/>
    <col min="14605" max="14605" width="0" style="2" hidden="1" customWidth="1"/>
    <col min="14606" max="14848" width="11.42578125" style="2"/>
    <col min="14849" max="14849" width="1" style="2" customWidth="1"/>
    <col min="14850" max="14855" width="11.42578125" style="2" customWidth="1"/>
    <col min="14856" max="14856" width="18.140625" style="2" customWidth="1"/>
    <col min="14857" max="14859" width="11.42578125" style="2" customWidth="1"/>
    <col min="14860" max="14860" width="8.7109375" style="2" customWidth="1"/>
    <col min="14861" max="14861" width="0" style="2" hidden="1" customWidth="1"/>
    <col min="14862" max="15104" width="11.42578125" style="2"/>
    <col min="15105" max="15105" width="1" style="2" customWidth="1"/>
    <col min="15106" max="15111" width="11.42578125" style="2" customWidth="1"/>
    <col min="15112" max="15112" width="18.140625" style="2" customWidth="1"/>
    <col min="15113" max="15115" width="11.42578125" style="2" customWidth="1"/>
    <col min="15116" max="15116" width="8.7109375" style="2" customWidth="1"/>
    <col min="15117" max="15117" width="0" style="2" hidden="1" customWidth="1"/>
    <col min="15118" max="15360" width="11.42578125" style="2"/>
    <col min="15361" max="15361" width="1" style="2" customWidth="1"/>
    <col min="15362" max="15367" width="11.42578125" style="2" customWidth="1"/>
    <col min="15368" max="15368" width="18.140625" style="2" customWidth="1"/>
    <col min="15369" max="15371" width="11.42578125" style="2" customWidth="1"/>
    <col min="15372" max="15372" width="8.7109375" style="2" customWidth="1"/>
    <col min="15373" max="15373" width="0" style="2" hidden="1" customWidth="1"/>
    <col min="15374" max="15616" width="11.42578125" style="2"/>
    <col min="15617" max="15617" width="1" style="2" customWidth="1"/>
    <col min="15618" max="15623" width="11.42578125" style="2" customWidth="1"/>
    <col min="15624" max="15624" width="18.140625" style="2" customWidth="1"/>
    <col min="15625" max="15627" width="11.42578125" style="2" customWidth="1"/>
    <col min="15628" max="15628" width="8.7109375" style="2" customWidth="1"/>
    <col min="15629" max="15629" width="0" style="2" hidden="1" customWidth="1"/>
    <col min="15630" max="15872" width="11.42578125" style="2"/>
    <col min="15873" max="15873" width="1" style="2" customWidth="1"/>
    <col min="15874" max="15879" width="11.42578125" style="2" customWidth="1"/>
    <col min="15880" max="15880" width="18.140625" style="2" customWidth="1"/>
    <col min="15881" max="15883" width="11.42578125" style="2" customWidth="1"/>
    <col min="15884" max="15884" width="8.7109375" style="2" customWidth="1"/>
    <col min="15885" max="15885" width="0" style="2" hidden="1" customWidth="1"/>
    <col min="15886" max="16128" width="11.42578125" style="2"/>
    <col min="16129" max="16129" width="1" style="2" customWidth="1"/>
    <col min="16130" max="16135" width="11.42578125" style="2" customWidth="1"/>
    <col min="16136" max="16136" width="18.140625" style="2" customWidth="1"/>
    <col min="16137" max="16139" width="11.42578125" style="2" customWidth="1"/>
    <col min="16140" max="16140" width="8.7109375" style="2" customWidth="1"/>
    <col min="16141" max="16141" width="0" style="2" hidden="1" customWidth="1"/>
    <col min="16142" max="16384" width="11.42578125" style="2"/>
  </cols>
  <sheetData>
    <row r="2" spans="2:5" x14ac:dyDescent="0.25">
      <c r="B2" s="469" t="s">
        <v>147</v>
      </c>
    </row>
    <row r="4" spans="2:5" ht="15.75" x14ac:dyDescent="0.25">
      <c r="B4" s="470" t="s">
        <v>148</v>
      </c>
      <c r="D4" s="471"/>
      <c r="E4" s="471"/>
    </row>
    <row r="5" spans="2:5" x14ac:dyDescent="0.25">
      <c r="B5" s="471"/>
      <c r="C5" s="471"/>
      <c r="D5" s="471"/>
      <c r="E5" s="471"/>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tabColor rgb="FF00B0F0"/>
  </sheetPr>
  <dimension ref="A1:AI64"/>
  <sheetViews>
    <sheetView workbookViewId="0"/>
  </sheetViews>
  <sheetFormatPr defaultRowHeight="12.75" x14ac:dyDescent="0.2"/>
  <cols>
    <col min="1" max="1" width="2.85546875" style="214" customWidth="1"/>
    <col min="2" max="2" width="16.42578125" style="214" customWidth="1"/>
    <col min="3" max="3" width="16" style="214" customWidth="1"/>
    <col min="4" max="4" width="12.140625" style="214" customWidth="1"/>
    <col min="5" max="5" width="11.7109375" style="214" customWidth="1"/>
    <col min="6" max="6" width="9.7109375" style="214" customWidth="1"/>
    <col min="7" max="7" width="11" style="214" customWidth="1"/>
    <col min="8" max="8" width="9.7109375" style="214" customWidth="1"/>
    <col min="9" max="9" width="11.42578125" style="214" customWidth="1"/>
    <col min="10" max="10" width="9.7109375" style="214" customWidth="1"/>
    <col min="11" max="11" width="12.140625" style="214" customWidth="1"/>
    <col min="12" max="12" width="9.7109375" style="214" customWidth="1"/>
    <col min="13" max="14" width="10.7109375" style="214" customWidth="1"/>
    <col min="15" max="15" width="16.140625" style="214" customWidth="1"/>
    <col min="16" max="21" width="9.140625" style="214"/>
    <col min="22" max="22" width="19.42578125" style="473" customWidth="1"/>
    <col min="23" max="23" width="11" style="214" customWidth="1"/>
    <col min="24" max="24" width="10.140625" style="214" customWidth="1"/>
    <col min="25" max="31" width="9.7109375" style="214" customWidth="1"/>
    <col min="32" max="32" width="12.140625" style="214" customWidth="1"/>
    <col min="33" max="34" width="9.7109375" style="214" customWidth="1"/>
    <col min="35" max="256" width="9.140625" style="214"/>
    <col min="257" max="257" width="2.85546875" style="214" customWidth="1"/>
    <col min="258" max="258" width="16.42578125" style="214" customWidth="1"/>
    <col min="259" max="259" width="16" style="214" customWidth="1"/>
    <col min="260" max="260" width="12.140625" style="214" customWidth="1"/>
    <col min="261" max="261" width="11.7109375" style="214" customWidth="1"/>
    <col min="262" max="262" width="9.7109375" style="214" customWidth="1"/>
    <col min="263" max="263" width="11" style="214" customWidth="1"/>
    <col min="264" max="264" width="9.7109375" style="214" customWidth="1"/>
    <col min="265" max="265" width="11.42578125" style="214" customWidth="1"/>
    <col min="266" max="266" width="9.7109375" style="214" customWidth="1"/>
    <col min="267" max="267" width="12.140625" style="214" customWidth="1"/>
    <col min="268" max="268" width="9.7109375" style="214" customWidth="1"/>
    <col min="269" max="270" width="10.7109375" style="214" customWidth="1"/>
    <col min="271" max="271" width="16.140625" style="214" customWidth="1"/>
    <col min="272" max="277" width="9.140625" style="214"/>
    <col min="278" max="278" width="19.42578125" style="214" customWidth="1"/>
    <col min="279" max="279" width="11" style="214" customWidth="1"/>
    <col min="280" max="280" width="10.140625" style="214" customWidth="1"/>
    <col min="281" max="287" width="9.7109375" style="214" customWidth="1"/>
    <col min="288" max="288" width="12.140625" style="214" customWidth="1"/>
    <col min="289" max="290" width="9.7109375" style="214" customWidth="1"/>
    <col min="291" max="512" width="9.140625" style="214"/>
    <col min="513" max="513" width="2.85546875" style="214" customWidth="1"/>
    <col min="514" max="514" width="16.42578125" style="214" customWidth="1"/>
    <col min="515" max="515" width="16" style="214" customWidth="1"/>
    <col min="516" max="516" width="12.140625" style="214" customWidth="1"/>
    <col min="517" max="517" width="11.7109375" style="214" customWidth="1"/>
    <col min="518" max="518" width="9.7109375" style="214" customWidth="1"/>
    <col min="519" max="519" width="11" style="214" customWidth="1"/>
    <col min="520" max="520" width="9.7109375" style="214" customWidth="1"/>
    <col min="521" max="521" width="11.42578125" style="214" customWidth="1"/>
    <col min="522" max="522" width="9.7109375" style="214" customWidth="1"/>
    <col min="523" max="523" width="12.140625" style="214" customWidth="1"/>
    <col min="524" max="524" width="9.7109375" style="214" customWidth="1"/>
    <col min="525" max="526" width="10.7109375" style="214" customWidth="1"/>
    <col min="527" max="527" width="16.140625" style="214" customWidth="1"/>
    <col min="528" max="533" width="9.140625" style="214"/>
    <col min="534" max="534" width="19.42578125" style="214" customWidth="1"/>
    <col min="535" max="535" width="11" style="214" customWidth="1"/>
    <col min="536" max="536" width="10.140625" style="214" customWidth="1"/>
    <col min="537" max="543" width="9.7109375" style="214" customWidth="1"/>
    <col min="544" max="544" width="12.140625" style="214" customWidth="1"/>
    <col min="545" max="546" width="9.7109375" style="214" customWidth="1"/>
    <col min="547" max="768" width="9.140625" style="214"/>
    <col min="769" max="769" width="2.85546875" style="214" customWidth="1"/>
    <col min="770" max="770" width="16.42578125" style="214" customWidth="1"/>
    <col min="771" max="771" width="16" style="214" customWidth="1"/>
    <col min="772" max="772" width="12.140625" style="214" customWidth="1"/>
    <col min="773" max="773" width="11.7109375" style="214" customWidth="1"/>
    <col min="774" max="774" width="9.7109375" style="214" customWidth="1"/>
    <col min="775" max="775" width="11" style="214" customWidth="1"/>
    <col min="776" max="776" width="9.7109375" style="214" customWidth="1"/>
    <col min="777" max="777" width="11.42578125" style="214" customWidth="1"/>
    <col min="778" max="778" width="9.7109375" style="214" customWidth="1"/>
    <col min="779" max="779" width="12.140625" style="214" customWidth="1"/>
    <col min="780" max="780" width="9.7109375" style="214" customWidth="1"/>
    <col min="781" max="782" width="10.7109375" style="214" customWidth="1"/>
    <col min="783" max="783" width="16.140625" style="214" customWidth="1"/>
    <col min="784" max="789" width="9.140625" style="214"/>
    <col min="790" max="790" width="19.42578125" style="214" customWidth="1"/>
    <col min="791" max="791" width="11" style="214" customWidth="1"/>
    <col min="792" max="792" width="10.140625" style="214" customWidth="1"/>
    <col min="793" max="799" width="9.7109375" style="214" customWidth="1"/>
    <col min="800" max="800" width="12.140625" style="214" customWidth="1"/>
    <col min="801" max="802" width="9.7109375" style="214" customWidth="1"/>
    <col min="803" max="1024" width="9.140625" style="214"/>
    <col min="1025" max="1025" width="2.85546875" style="214" customWidth="1"/>
    <col min="1026" max="1026" width="16.42578125" style="214" customWidth="1"/>
    <col min="1027" max="1027" width="16" style="214" customWidth="1"/>
    <col min="1028" max="1028" width="12.140625" style="214" customWidth="1"/>
    <col min="1029" max="1029" width="11.7109375" style="214" customWidth="1"/>
    <col min="1030" max="1030" width="9.7109375" style="214" customWidth="1"/>
    <col min="1031" max="1031" width="11" style="214" customWidth="1"/>
    <col min="1032" max="1032" width="9.7109375" style="214" customWidth="1"/>
    <col min="1033" max="1033" width="11.42578125" style="214" customWidth="1"/>
    <col min="1034" max="1034" width="9.7109375" style="214" customWidth="1"/>
    <col min="1035" max="1035" width="12.140625" style="214" customWidth="1"/>
    <col min="1036" max="1036" width="9.7109375" style="214" customWidth="1"/>
    <col min="1037" max="1038" width="10.7109375" style="214" customWidth="1"/>
    <col min="1039" max="1039" width="16.140625" style="214" customWidth="1"/>
    <col min="1040" max="1045" width="9.140625" style="214"/>
    <col min="1046" max="1046" width="19.42578125" style="214" customWidth="1"/>
    <col min="1047" max="1047" width="11" style="214" customWidth="1"/>
    <col min="1048" max="1048" width="10.140625" style="214" customWidth="1"/>
    <col min="1049" max="1055" width="9.7109375" style="214" customWidth="1"/>
    <col min="1056" max="1056" width="12.140625" style="214" customWidth="1"/>
    <col min="1057" max="1058" width="9.7109375" style="214" customWidth="1"/>
    <col min="1059" max="1280" width="9.140625" style="214"/>
    <col min="1281" max="1281" width="2.85546875" style="214" customWidth="1"/>
    <col min="1282" max="1282" width="16.42578125" style="214" customWidth="1"/>
    <col min="1283" max="1283" width="16" style="214" customWidth="1"/>
    <col min="1284" max="1284" width="12.140625" style="214" customWidth="1"/>
    <col min="1285" max="1285" width="11.7109375" style="214" customWidth="1"/>
    <col min="1286" max="1286" width="9.7109375" style="214" customWidth="1"/>
    <col min="1287" max="1287" width="11" style="214" customWidth="1"/>
    <col min="1288" max="1288" width="9.7109375" style="214" customWidth="1"/>
    <col min="1289" max="1289" width="11.42578125" style="214" customWidth="1"/>
    <col min="1290" max="1290" width="9.7109375" style="214" customWidth="1"/>
    <col min="1291" max="1291" width="12.140625" style="214" customWidth="1"/>
    <col min="1292" max="1292" width="9.7109375" style="214" customWidth="1"/>
    <col min="1293" max="1294" width="10.7109375" style="214" customWidth="1"/>
    <col min="1295" max="1295" width="16.140625" style="214" customWidth="1"/>
    <col min="1296" max="1301" width="9.140625" style="214"/>
    <col min="1302" max="1302" width="19.42578125" style="214" customWidth="1"/>
    <col min="1303" max="1303" width="11" style="214" customWidth="1"/>
    <col min="1304" max="1304" width="10.140625" style="214" customWidth="1"/>
    <col min="1305" max="1311" width="9.7109375" style="214" customWidth="1"/>
    <col min="1312" max="1312" width="12.140625" style="214" customWidth="1"/>
    <col min="1313" max="1314" width="9.7109375" style="214" customWidth="1"/>
    <col min="1315" max="1536" width="9.140625" style="214"/>
    <col min="1537" max="1537" width="2.85546875" style="214" customWidth="1"/>
    <col min="1538" max="1538" width="16.42578125" style="214" customWidth="1"/>
    <col min="1539" max="1539" width="16" style="214" customWidth="1"/>
    <col min="1540" max="1540" width="12.140625" style="214" customWidth="1"/>
    <col min="1541" max="1541" width="11.7109375" style="214" customWidth="1"/>
    <col min="1542" max="1542" width="9.7109375" style="214" customWidth="1"/>
    <col min="1543" max="1543" width="11" style="214" customWidth="1"/>
    <col min="1544" max="1544" width="9.7109375" style="214" customWidth="1"/>
    <col min="1545" max="1545" width="11.42578125" style="214" customWidth="1"/>
    <col min="1546" max="1546" width="9.7109375" style="214" customWidth="1"/>
    <col min="1547" max="1547" width="12.140625" style="214" customWidth="1"/>
    <col min="1548" max="1548" width="9.7109375" style="214" customWidth="1"/>
    <col min="1549" max="1550" width="10.7109375" style="214" customWidth="1"/>
    <col min="1551" max="1551" width="16.140625" style="214" customWidth="1"/>
    <col min="1552" max="1557" width="9.140625" style="214"/>
    <col min="1558" max="1558" width="19.42578125" style="214" customWidth="1"/>
    <col min="1559" max="1559" width="11" style="214" customWidth="1"/>
    <col min="1560" max="1560" width="10.140625" style="214" customWidth="1"/>
    <col min="1561" max="1567" width="9.7109375" style="214" customWidth="1"/>
    <col min="1568" max="1568" width="12.140625" style="214" customWidth="1"/>
    <col min="1569" max="1570" width="9.7109375" style="214" customWidth="1"/>
    <col min="1571" max="1792" width="9.140625" style="214"/>
    <col min="1793" max="1793" width="2.85546875" style="214" customWidth="1"/>
    <col min="1794" max="1794" width="16.42578125" style="214" customWidth="1"/>
    <col min="1795" max="1795" width="16" style="214" customWidth="1"/>
    <col min="1796" max="1796" width="12.140625" style="214" customWidth="1"/>
    <col min="1797" max="1797" width="11.7109375" style="214" customWidth="1"/>
    <col min="1798" max="1798" width="9.7109375" style="214" customWidth="1"/>
    <col min="1799" max="1799" width="11" style="214" customWidth="1"/>
    <col min="1800" max="1800" width="9.7109375" style="214" customWidth="1"/>
    <col min="1801" max="1801" width="11.42578125" style="214" customWidth="1"/>
    <col min="1802" max="1802" width="9.7109375" style="214" customWidth="1"/>
    <col min="1803" max="1803" width="12.140625" style="214" customWidth="1"/>
    <col min="1804" max="1804" width="9.7109375" style="214" customWidth="1"/>
    <col min="1805" max="1806" width="10.7109375" style="214" customWidth="1"/>
    <col min="1807" max="1807" width="16.140625" style="214" customWidth="1"/>
    <col min="1808" max="1813" width="9.140625" style="214"/>
    <col min="1814" max="1814" width="19.42578125" style="214" customWidth="1"/>
    <col min="1815" max="1815" width="11" style="214" customWidth="1"/>
    <col min="1816" max="1816" width="10.140625" style="214" customWidth="1"/>
    <col min="1817" max="1823" width="9.7109375" style="214" customWidth="1"/>
    <col min="1824" max="1824" width="12.140625" style="214" customWidth="1"/>
    <col min="1825" max="1826" width="9.7109375" style="214" customWidth="1"/>
    <col min="1827" max="2048" width="9.140625" style="214"/>
    <col min="2049" max="2049" width="2.85546875" style="214" customWidth="1"/>
    <col min="2050" max="2050" width="16.42578125" style="214" customWidth="1"/>
    <col min="2051" max="2051" width="16" style="214" customWidth="1"/>
    <col min="2052" max="2052" width="12.140625" style="214" customWidth="1"/>
    <col min="2053" max="2053" width="11.7109375" style="214" customWidth="1"/>
    <col min="2054" max="2054" width="9.7109375" style="214" customWidth="1"/>
    <col min="2055" max="2055" width="11" style="214" customWidth="1"/>
    <col min="2056" max="2056" width="9.7109375" style="214" customWidth="1"/>
    <col min="2057" max="2057" width="11.42578125" style="214" customWidth="1"/>
    <col min="2058" max="2058" width="9.7109375" style="214" customWidth="1"/>
    <col min="2059" max="2059" width="12.140625" style="214" customWidth="1"/>
    <col min="2060" max="2060" width="9.7109375" style="214" customWidth="1"/>
    <col min="2061" max="2062" width="10.7109375" style="214" customWidth="1"/>
    <col min="2063" max="2063" width="16.140625" style="214" customWidth="1"/>
    <col min="2064" max="2069" width="9.140625" style="214"/>
    <col min="2070" max="2070" width="19.42578125" style="214" customWidth="1"/>
    <col min="2071" max="2071" width="11" style="214" customWidth="1"/>
    <col min="2072" max="2072" width="10.140625" style="214" customWidth="1"/>
    <col min="2073" max="2079" width="9.7109375" style="214" customWidth="1"/>
    <col min="2080" max="2080" width="12.140625" style="214" customWidth="1"/>
    <col min="2081" max="2082" width="9.7109375" style="214" customWidth="1"/>
    <col min="2083" max="2304" width="9.140625" style="214"/>
    <col min="2305" max="2305" width="2.85546875" style="214" customWidth="1"/>
    <col min="2306" max="2306" width="16.42578125" style="214" customWidth="1"/>
    <col min="2307" max="2307" width="16" style="214" customWidth="1"/>
    <col min="2308" max="2308" width="12.140625" style="214" customWidth="1"/>
    <col min="2309" max="2309" width="11.7109375" style="214" customWidth="1"/>
    <col min="2310" max="2310" width="9.7109375" style="214" customWidth="1"/>
    <col min="2311" max="2311" width="11" style="214" customWidth="1"/>
    <col min="2312" max="2312" width="9.7109375" style="214" customWidth="1"/>
    <col min="2313" max="2313" width="11.42578125" style="214" customWidth="1"/>
    <col min="2314" max="2314" width="9.7109375" style="214" customWidth="1"/>
    <col min="2315" max="2315" width="12.140625" style="214" customWidth="1"/>
    <col min="2316" max="2316" width="9.7109375" style="214" customWidth="1"/>
    <col min="2317" max="2318" width="10.7109375" style="214" customWidth="1"/>
    <col min="2319" max="2319" width="16.140625" style="214" customWidth="1"/>
    <col min="2320" max="2325" width="9.140625" style="214"/>
    <col min="2326" max="2326" width="19.42578125" style="214" customWidth="1"/>
    <col min="2327" max="2327" width="11" style="214" customWidth="1"/>
    <col min="2328" max="2328" width="10.140625" style="214" customWidth="1"/>
    <col min="2329" max="2335" width="9.7109375" style="214" customWidth="1"/>
    <col min="2336" max="2336" width="12.140625" style="214" customWidth="1"/>
    <col min="2337" max="2338" width="9.7109375" style="214" customWidth="1"/>
    <col min="2339" max="2560" width="9.140625" style="214"/>
    <col min="2561" max="2561" width="2.85546875" style="214" customWidth="1"/>
    <col min="2562" max="2562" width="16.42578125" style="214" customWidth="1"/>
    <col min="2563" max="2563" width="16" style="214" customWidth="1"/>
    <col min="2564" max="2564" width="12.140625" style="214" customWidth="1"/>
    <col min="2565" max="2565" width="11.7109375" style="214" customWidth="1"/>
    <col min="2566" max="2566" width="9.7109375" style="214" customWidth="1"/>
    <col min="2567" max="2567" width="11" style="214" customWidth="1"/>
    <col min="2568" max="2568" width="9.7109375" style="214" customWidth="1"/>
    <col min="2569" max="2569" width="11.42578125" style="214" customWidth="1"/>
    <col min="2570" max="2570" width="9.7109375" style="214" customWidth="1"/>
    <col min="2571" max="2571" width="12.140625" style="214" customWidth="1"/>
    <col min="2572" max="2572" width="9.7109375" style="214" customWidth="1"/>
    <col min="2573" max="2574" width="10.7109375" style="214" customWidth="1"/>
    <col min="2575" max="2575" width="16.140625" style="214" customWidth="1"/>
    <col min="2576" max="2581" width="9.140625" style="214"/>
    <col min="2582" max="2582" width="19.42578125" style="214" customWidth="1"/>
    <col min="2583" max="2583" width="11" style="214" customWidth="1"/>
    <col min="2584" max="2584" width="10.140625" style="214" customWidth="1"/>
    <col min="2585" max="2591" width="9.7109375" style="214" customWidth="1"/>
    <col min="2592" max="2592" width="12.140625" style="214" customWidth="1"/>
    <col min="2593" max="2594" width="9.7109375" style="214" customWidth="1"/>
    <col min="2595" max="2816" width="9.140625" style="214"/>
    <col min="2817" max="2817" width="2.85546875" style="214" customWidth="1"/>
    <col min="2818" max="2818" width="16.42578125" style="214" customWidth="1"/>
    <col min="2819" max="2819" width="16" style="214" customWidth="1"/>
    <col min="2820" max="2820" width="12.140625" style="214" customWidth="1"/>
    <col min="2821" max="2821" width="11.7109375" style="214" customWidth="1"/>
    <col min="2822" max="2822" width="9.7109375" style="214" customWidth="1"/>
    <col min="2823" max="2823" width="11" style="214" customWidth="1"/>
    <col min="2824" max="2824" width="9.7109375" style="214" customWidth="1"/>
    <col min="2825" max="2825" width="11.42578125" style="214" customWidth="1"/>
    <col min="2826" max="2826" width="9.7109375" style="214" customWidth="1"/>
    <col min="2827" max="2827" width="12.140625" style="214" customWidth="1"/>
    <col min="2828" max="2828" width="9.7109375" style="214" customWidth="1"/>
    <col min="2829" max="2830" width="10.7109375" style="214" customWidth="1"/>
    <col min="2831" max="2831" width="16.140625" style="214" customWidth="1"/>
    <col min="2832" max="2837" width="9.140625" style="214"/>
    <col min="2838" max="2838" width="19.42578125" style="214" customWidth="1"/>
    <col min="2839" max="2839" width="11" style="214" customWidth="1"/>
    <col min="2840" max="2840" width="10.140625" style="214" customWidth="1"/>
    <col min="2841" max="2847" width="9.7109375" style="214" customWidth="1"/>
    <col min="2848" max="2848" width="12.140625" style="214" customWidth="1"/>
    <col min="2849" max="2850" width="9.7109375" style="214" customWidth="1"/>
    <col min="2851" max="3072" width="9.140625" style="214"/>
    <col min="3073" max="3073" width="2.85546875" style="214" customWidth="1"/>
    <col min="3074" max="3074" width="16.42578125" style="214" customWidth="1"/>
    <col min="3075" max="3075" width="16" style="214" customWidth="1"/>
    <col min="3076" max="3076" width="12.140625" style="214" customWidth="1"/>
    <col min="3077" max="3077" width="11.7109375" style="214" customWidth="1"/>
    <col min="3078" max="3078" width="9.7109375" style="214" customWidth="1"/>
    <col min="3079" max="3079" width="11" style="214" customWidth="1"/>
    <col min="3080" max="3080" width="9.7109375" style="214" customWidth="1"/>
    <col min="3081" max="3081" width="11.42578125" style="214" customWidth="1"/>
    <col min="3082" max="3082" width="9.7109375" style="214" customWidth="1"/>
    <col min="3083" max="3083" width="12.140625" style="214" customWidth="1"/>
    <col min="3084" max="3084" width="9.7109375" style="214" customWidth="1"/>
    <col min="3085" max="3086" width="10.7109375" style="214" customWidth="1"/>
    <col min="3087" max="3087" width="16.140625" style="214" customWidth="1"/>
    <col min="3088" max="3093" width="9.140625" style="214"/>
    <col min="3094" max="3094" width="19.42578125" style="214" customWidth="1"/>
    <col min="3095" max="3095" width="11" style="214" customWidth="1"/>
    <col min="3096" max="3096" width="10.140625" style="214" customWidth="1"/>
    <col min="3097" max="3103" width="9.7109375" style="214" customWidth="1"/>
    <col min="3104" max="3104" width="12.140625" style="214" customWidth="1"/>
    <col min="3105" max="3106" width="9.7109375" style="214" customWidth="1"/>
    <col min="3107" max="3328" width="9.140625" style="214"/>
    <col min="3329" max="3329" width="2.85546875" style="214" customWidth="1"/>
    <col min="3330" max="3330" width="16.42578125" style="214" customWidth="1"/>
    <col min="3331" max="3331" width="16" style="214" customWidth="1"/>
    <col min="3332" max="3332" width="12.140625" style="214" customWidth="1"/>
    <col min="3333" max="3333" width="11.7109375" style="214" customWidth="1"/>
    <col min="3334" max="3334" width="9.7109375" style="214" customWidth="1"/>
    <col min="3335" max="3335" width="11" style="214" customWidth="1"/>
    <col min="3336" max="3336" width="9.7109375" style="214" customWidth="1"/>
    <col min="3337" max="3337" width="11.42578125" style="214" customWidth="1"/>
    <col min="3338" max="3338" width="9.7109375" style="214" customWidth="1"/>
    <col min="3339" max="3339" width="12.140625" style="214" customWidth="1"/>
    <col min="3340" max="3340" width="9.7109375" style="214" customWidth="1"/>
    <col min="3341" max="3342" width="10.7109375" style="214" customWidth="1"/>
    <col min="3343" max="3343" width="16.140625" style="214" customWidth="1"/>
    <col min="3344" max="3349" width="9.140625" style="214"/>
    <col min="3350" max="3350" width="19.42578125" style="214" customWidth="1"/>
    <col min="3351" max="3351" width="11" style="214" customWidth="1"/>
    <col min="3352" max="3352" width="10.140625" style="214" customWidth="1"/>
    <col min="3353" max="3359" width="9.7109375" style="214" customWidth="1"/>
    <col min="3360" max="3360" width="12.140625" style="214" customWidth="1"/>
    <col min="3361" max="3362" width="9.7109375" style="214" customWidth="1"/>
    <col min="3363" max="3584" width="9.140625" style="214"/>
    <col min="3585" max="3585" width="2.85546875" style="214" customWidth="1"/>
    <col min="3586" max="3586" width="16.42578125" style="214" customWidth="1"/>
    <col min="3587" max="3587" width="16" style="214" customWidth="1"/>
    <col min="3588" max="3588" width="12.140625" style="214" customWidth="1"/>
    <col min="3589" max="3589" width="11.7109375" style="214" customWidth="1"/>
    <col min="3590" max="3590" width="9.7109375" style="214" customWidth="1"/>
    <col min="3591" max="3591" width="11" style="214" customWidth="1"/>
    <col min="3592" max="3592" width="9.7109375" style="214" customWidth="1"/>
    <col min="3593" max="3593" width="11.42578125" style="214" customWidth="1"/>
    <col min="3594" max="3594" width="9.7109375" style="214" customWidth="1"/>
    <col min="3595" max="3595" width="12.140625" style="214" customWidth="1"/>
    <col min="3596" max="3596" width="9.7109375" style="214" customWidth="1"/>
    <col min="3597" max="3598" width="10.7109375" style="214" customWidth="1"/>
    <col min="3599" max="3599" width="16.140625" style="214" customWidth="1"/>
    <col min="3600" max="3605" width="9.140625" style="214"/>
    <col min="3606" max="3606" width="19.42578125" style="214" customWidth="1"/>
    <col min="3607" max="3607" width="11" style="214" customWidth="1"/>
    <col min="3608" max="3608" width="10.140625" style="214" customWidth="1"/>
    <col min="3609" max="3615" width="9.7109375" style="214" customWidth="1"/>
    <col min="3616" max="3616" width="12.140625" style="214" customWidth="1"/>
    <col min="3617" max="3618" width="9.7109375" style="214" customWidth="1"/>
    <col min="3619" max="3840" width="9.140625" style="214"/>
    <col min="3841" max="3841" width="2.85546875" style="214" customWidth="1"/>
    <col min="3842" max="3842" width="16.42578125" style="214" customWidth="1"/>
    <col min="3843" max="3843" width="16" style="214" customWidth="1"/>
    <col min="3844" max="3844" width="12.140625" style="214" customWidth="1"/>
    <col min="3845" max="3845" width="11.7109375" style="214" customWidth="1"/>
    <col min="3846" max="3846" width="9.7109375" style="214" customWidth="1"/>
    <col min="3847" max="3847" width="11" style="214" customWidth="1"/>
    <col min="3848" max="3848" width="9.7109375" style="214" customWidth="1"/>
    <col min="3849" max="3849" width="11.42578125" style="214" customWidth="1"/>
    <col min="3850" max="3850" width="9.7109375" style="214" customWidth="1"/>
    <col min="3851" max="3851" width="12.140625" style="214" customWidth="1"/>
    <col min="3852" max="3852" width="9.7109375" style="214" customWidth="1"/>
    <col min="3853" max="3854" width="10.7109375" style="214" customWidth="1"/>
    <col min="3855" max="3855" width="16.140625" style="214" customWidth="1"/>
    <col min="3856" max="3861" width="9.140625" style="214"/>
    <col min="3862" max="3862" width="19.42578125" style="214" customWidth="1"/>
    <col min="3863" max="3863" width="11" style="214" customWidth="1"/>
    <col min="3864" max="3864" width="10.140625" style="214" customWidth="1"/>
    <col min="3865" max="3871" width="9.7109375" style="214" customWidth="1"/>
    <col min="3872" max="3872" width="12.140625" style="214" customWidth="1"/>
    <col min="3873" max="3874" width="9.7109375" style="214" customWidth="1"/>
    <col min="3875" max="4096" width="9.140625" style="214"/>
    <col min="4097" max="4097" width="2.85546875" style="214" customWidth="1"/>
    <col min="4098" max="4098" width="16.42578125" style="214" customWidth="1"/>
    <col min="4099" max="4099" width="16" style="214" customWidth="1"/>
    <col min="4100" max="4100" width="12.140625" style="214" customWidth="1"/>
    <col min="4101" max="4101" width="11.7109375" style="214" customWidth="1"/>
    <col min="4102" max="4102" width="9.7109375" style="214" customWidth="1"/>
    <col min="4103" max="4103" width="11" style="214" customWidth="1"/>
    <col min="4104" max="4104" width="9.7109375" style="214" customWidth="1"/>
    <col min="4105" max="4105" width="11.42578125" style="214" customWidth="1"/>
    <col min="4106" max="4106" width="9.7109375" style="214" customWidth="1"/>
    <col min="4107" max="4107" width="12.140625" style="214" customWidth="1"/>
    <col min="4108" max="4108" width="9.7109375" style="214" customWidth="1"/>
    <col min="4109" max="4110" width="10.7109375" style="214" customWidth="1"/>
    <col min="4111" max="4111" width="16.140625" style="214" customWidth="1"/>
    <col min="4112" max="4117" width="9.140625" style="214"/>
    <col min="4118" max="4118" width="19.42578125" style="214" customWidth="1"/>
    <col min="4119" max="4119" width="11" style="214" customWidth="1"/>
    <col min="4120" max="4120" width="10.140625" style="214" customWidth="1"/>
    <col min="4121" max="4127" width="9.7109375" style="214" customWidth="1"/>
    <col min="4128" max="4128" width="12.140625" style="214" customWidth="1"/>
    <col min="4129" max="4130" width="9.7109375" style="214" customWidth="1"/>
    <col min="4131" max="4352" width="9.140625" style="214"/>
    <col min="4353" max="4353" width="2.85546875" style="214" customWidth="1"/>
    <col min="4354" max="4354" width="16.42578125" style="214" customWidth="1"/>
    <col min="4355" max="4355" width="16" style="214" customWidth="1"/>
    <col min="4356" max="4356" width="12.140625" style="214" customWidth="1"/>
    <col min="4357" max="4357" width="11.7109375" style="214" customWidth="1"/>
    <col min="4358" max="4358" width="9.7109375" style="214" customWidth="1"/>
    <col min="4359" max="4359" width="11" style="214" customWidth="1"/>
    <col min="4360" max="4360" width="9.7109375" style="214" customWidth="1"/>
    <col min="4361" max="4361" width="11.42578125" style="214" customWidth="1"/>
    <col min="4362" max="4362" width="9.7109375" style="214" customWidth="1"/>
    <col min="4363" max="4363" width="12.140625" style="214" customWidth="1"/>
    <col min="4364" max="4364" width="9.7109375" style="214" customWidth="1"/>
    <col min="4365" max="4366" width="10.7109375" style="214" customWidth="1"/>
    <col min="4367" max="4367" width="16.140625" style="214" customWidth="1"/>
    <col min="4368" max="4373" width="9.140625" style="214"/>
    <col min="4374" max="4374" width="19.42578125" style="214" customWidth="1"/>
    <col min="4375" max="4375" width="11" style="214" customWidth="1"/>
    <col min="4376" max="4376" width="10.140625" style="214" customWidth="1"/>
    <col min="4377" max="4383" width="9.7109375" style="214" customWidth="1"/>
    <col min="4384" max="4384" width="12.140625" style="214" customWidth="1"/>
    <col min="4385" max="4386" width="9.7109375" style="214" customWidth="1"/>
    <col min="4387" max="4608" width="9.140625" style="214"/>
    <col min="4609" max="4609" width="2.85546875" style="214" customWidth="1"/>
    <col min="4610" max="4610" width="16.42578125" style="214" customWidth="1"/>
    <col min="4611" max="4611" width="16" style="214" customWidth="1"/>
    <col min="4612" max="4612" width="12.140625" style="214" customWidth="1"/>
    <col min="4613" max="4613" width="11.7109375" style="214" customWidth="1"/>
    <col min="4614" max="4614" width="9.7109375" style="214" customWidth="1"/>
    <col min="4615" max="4615" width="11" style="214" customWidth="1"/>
    <col min="4616" max="4616" width="9.7109375" style="214" customWidth="1"/>
    <col min="4617" max="4617" width="11.42578125" style="214" customWidth="1"/>
    <col min="4618" max="4618" width="9.7109375" style="214" customWidth="1"/>
    <col min="4619" max="4619" width="12.140625" style="214" customWidth="1"/>
    <col min="4620" max="4620" width="9.7109375" style="214" customWidth="1"/>
    <col min="4621" max="4622" width="10.7109375" style="214" customWidth="1"/>
    <col min="4623" max="4623" width="16.140625" style="214" customWidth="1"/>
    <col min="4624" max="4629" width="9.140625" style="214"/>
    <col min="4630" max="4630" width="19.42578125" style="214" customWidth="1"/>
    <col min="4631" max="4631" width="11" style="214" customWidth="1"/>
    <col min="4632" max="4632" width="10.140625" style="214" customWidth="1"/>
    <col min="4633" max="4639" width="9.7109375" style="214" customWidth="1"/>
    <col min="4640" max="4640" width="12.140625" style="214" customWidth="1"/>
    <col min="4641" max="4642" width="9.7109375" style="214" customWidth="1"/>
    <col min="4643" max="4864" width="9.140625" style="214"/>
    <col min="4865" max="4865" width="2.85546875" style="214" customWidth="1"/>
    <col min="4866" max="4866" width="16.42578125" style="214" customWidth="1"/>
    <col min="4867" max="4867" width="16" style="214" customWidth="1"/>
    <col min="4868" max="4868" width="12.140625" style="214" customWidth="1"/>
    <col min="4869" max="4869" width="11.7109375" style="214" customWidth="1"/>
    <col min="4870" max="4870" width="9.7109375" style="214" customWidth="1"/>
    <col min="4871" max="4871" width="11" style="214" customWidth="1"/>
    <col min="4872" max="4872" width="9.7109375" style="214" customWidth="1"/>
    <col min="4873" max="4873" width="11.42578125" style="214" customWidth="1"/>
    <col min="4874" max="4874" width="9.7109375" style="214" customWidth="1"/>
    <col min="4875" max="4875" width="12.140625" style="214" customWidth="1"/>
    <col min="4876" max="4876" width="9.7109375" style="214" customWidth="1"/>
    <col min="4877" max="4878" width="10.7109375" style="214" customWidth="1"/>
    <col min="4879" max="4879" width="16.140625" style="214" customWidth="1"/>
    <col min="4880" max="4885" width="9.140625" style="214"/>
    <col min="4886" max="4886" width="19.42578125" style="214" customWidth="1"/>
    <col min="4887" max="4887" width="11" style="214" customWidth="1"/>
    <col min="4888" max="4888" width="10.140625" style="214" customWidth="1"/>
    <col min="4889" max="4895" width="9.7109375" style="214" customWidth="1"/>
    <col min="4896" max="4896" width="12.140625" style="214" customWidth="1"/>
    <col min="4897" max="4898" width="9.7109375" style="214" customWidth="1"/>
    <col min="4899" max="5120" width="9.140625" style="214"/>
    <col min="5121" max="5121" width="2.85546875" style="214" customWidth="1"/>
    <col min="5122" max="5122" width="16.42578125" style="214" customWidth="1"/>
    <col min="5123" max="5123" width="16" style="214" customWidth="1"/>
    <col min="5124" max="5124" width="12.140625" style="214" customWidth="1"/>
    <col min="5125" max="5125" width="11.7109375" style="214" customWidth="1"/>
    <col min="5126" max="5126" width="9.7109375" style="214" customWidth="1"/>
    <col min="5127" max="5127" width="11" style="214" customWidth="1"/>
    <col min="5128" max="5128" width="9.7109375" style="214" customWidth="1"/>
    <col min="5129" max="5129" width="11.42578125" style="214" customWidth="1"/>
    <col min="5130" max="5130" width="9.7109375" style="214" customWidth="1"/>
    <col min="5131" max="5131" width="12.140625" style="214" customWidth="1"/>
    <col min="5132" max="5132" width="9.7109375" style="214" customWidth="1"/>
    <col min="5133" max="5134" width="10.7109375" style="214" customWidth="1"/>
    <col min="5135" max="5135" width="16.140625" style="214" customWidth="1"/>
    <col min="5136" max="5141" width="9.140625" style="214"/>
    <col min="5142" max="5142" width="19.42578125" style="214" customWidth="1"/>
    <col min="5143" max="5143" width="11" style="214" customWidth="1"/>
    <col min="5144" max="5144" width="10.140625" style="214" customWidth="1"/>
    <col min="5145" max="5151" width="9.7109375" style="214" customWidth="1"/>
    <col min="5152" max="5152" width="12.140625" style="214" customWidth="1"/>
    <col min="5153" max="5154" width="9.7109375" style="214" customWidth="1"/>
    <col min="5155" max="5376" width="9.140625" style="214"/>
    <col min="5377" max="5377" width="2.85546875" style="214" customWidth="1"/>
    <col min="5378" max="5378" width="16.42578125" style="214" customWidth="1"/>
    <col min="5379" max="5379" width="16" style="214" customWidth="1"/>
    <col min="5380" max="5380" width="12.140625" style="214" customWidth="1"/>
    <col min="5381" max="5381" width="11.7109375" style="214" customWidth="1"/>
    <col min="5382" max="5382" width="9.7109375" style="214" customWidth="1"/>
    <col min="5383" max="5383" width="11" style="214" customWidth="1"/>
    <col min="5384" max="5384" width="9.7109375" style="214" customWidth="1"/>
    <col min="5385" max="5385" width="11.42578125" style="214" customWidth="1"/>
    <col min="5386" max="5386" width="9.7109375" style="214" customWidth="1"/>
    <col min="5387" max="5387" width="12.140625" style="214" customWidth="1"/>
    <col min="5388" max="5388" width="9.7109375" style="214" customWidth="1"/>
    <col min="5389" max="5390" width="10.7109375" style="214" customWidth="1"/>
    <col min="5391" max="5391" width="16.140625" style="214" customWidth="1"/>
    <col min="5392" max="5397" width="9.140625" style="214"/>
    <col min="5398" max="5398" width="19.42578125" style="214" customWidth="1"/>
    <col min="5399" max="5399" width="11" style="214" customWidth="1"/>
    <col min="5400" max="5400" width="10.140625" style="214" customWidth="1"/>
    <col min="5401" max="5407" width="9.7109375" style="214" customWidth="1"/>
    <col min="5408" max="5408" width="12.140625" style="214" customWidth="1"/>
    <col min="5409" max="5410" width="9.7109375" style="214" customWidth="1"/>
    <col min="5411" max="5632" width="9.140625" style="214"/>
    <col min="5633" max="5633" width="2.85546875" style="214" customWidth="1"/>
    <col min="5634" max="5634" width="16.42578125" style="214" customWidth="1"/>
    <col min="5635" max="5635" width="16" style="214" customWidth="1"/>
    <col min="5636" max="5636" width="12.140625" style="214" customWidth="1"/>
    <col min="5637" max="5637" width="11.7109375" style="214" customWidth="1"/>
    <col min="5638" max="5638" width="9.7109375" style="214" customWidth="1"/>
    <col min="5639" max="5639" width="11" style="214" customWidth="1"/>
    <col min="5640" max="5640" width="9.7109375" style="214" customWidth="1"/>
    <col min="5641" max="5641" width="11.42578125" style="214" customWidth="1"/>
    <col min="5642" max="5642" width="9.7109375" style="214" customWidth="1"/>
    <col min="5643" max="5643" width="12.140625" style="214" customWidth="1"/>
    <col min="5644" max="5644" width="9.7109375" style="214" customWidth="1"/>
    <col min="5645" max="5646" width="10.7109375" style="214" customWidth="1"/>
    <col min="5647" max="5647" width="16.140625" style="214" customWidth="1"/>
    <col min="5648" max="5653" width="9.140625" style="214"/>
    <col min="5654" max="5654" width="19.42578125" style="214" customWidth="1"/>
    <col min="5655" max="5655" width="11" style="214" customWidth="1"/>
    <col min="5656" max="5656" width="10.140625" style="214" customWidth="1"/>
    <col min="5657" max="5663" width="9.7109375" style="214" customWidth="1"/>
    <col min="5664" max="5664" width="12.140625" style="214" customWidth="1"/>
    <col min="5665" max="5666" width="9.7109375" style="214" customWidth="1"/>
    <col min="5667" max="5888" width="9.140625" style="214"/>
    <col min="5889" max="5889" width="2.85546875" style="214" customWidth="1"/>
    <col min="5890" max="5890" width="16.42578125" style="214" customWidth="1"/>
    <col min="5891" max="5891" width="16" style="214" customWidth="1"/>
    <col min="5892" max="5892" width="12.140625" style="214" customWidth="1"/>
    <col min="5893" max="5893" width="11.7109375" style="214" customWidth="1"/>
    <col min="5894" max="5894" width="9.7109375" style="214" customWidth="1"/>
    <col min="5895" max="5895" width="11" style="214" customWidth="1"/>
    <col min="5896" max="5896" width="9.7109375" style="214" customWidth="1"/>
    <col min="5897" max="5897" width="11.42578125" style="214" customWidth="1"/>
    <col min="5898" max="5898" width="9.7109375" style="214" customWidth="1"/>
    <col min="5899" max="5899" width="12.140625" style="214" customWidth="1"/>
    <col min="5900" max="5900" width="9.7109375" style="214" customWidth="1"/>
    <col min="5901" max="5902" width="10.7109375" style="214" customWidth="1"/>
    <col min="5903" max="5903" width="16.140625" style="214" customWidth="1"/>
    <col min="5904" max="5909" width="9.140625" style="214"/>
    <col min="5910" max="5910" width="19.42578125" style="214" customWidth="1"/>
    <col min="5911" max="5911" width="11" style="214" customWidth="1"/>
    <col min="5912" max="5912" width="10.140625" style="214" customWidth="1"/>
    <col min="5913" max="5919" width="9.7109375" style="214" customWidth="1"/>
    <col min="5920" max="5920" width="12.140625" style="214" customWidth="1"/>
    <col min="5921" max="5922" width="9.7109375" style="214" customWidth="1"/>
    <col min="5923" max="6144" width="9.140625" style="214"/>
    <col min="6145" max="6145" width="2.85546875" style="214" customWidth="1"/>
    <col min="6146" max="6146" width="16.42578125" style="214" customWidth="1"/>
    <col min="6147" max="6147" width="16" style="214" customWidth="1"/>
    <col min="6148" max="6148" width="12.140625" style="214" customWidth="1"/>
    <col min="6149" max="6149" width="11.7109375" style="214" customWidth="1"/>
    <col min="6150" max="6150" width="9.7109375" style="214" customWidth="1"/>
    <col min="6151" max="6151" width="11" style="214" customWidth="1"/>
    <col min="6152" max="6152" width="9.7109375" style="214" customWidth="1"/>
    <col min="6153" max="6153" width="11.42578125" style="214" customWidth="1"/>
    <col min="6154" max="6154" width="9.7109375" style="214" customWidth="1"/>
    <col min="6155" max="6155" width="12.140625" style="214" customWidth="1"/>
    <col min="6156" max="6156" width="9.7109375" style="214" customWidth="1"/>
    <col min="6157" max="6158" width="10.7109375" style="214" customWidth="1"/>
    <col min="6159" max="6159" width="16.140625" style="214" customWidth="1"/>
    <col min="6160" max="6165" width="9.140625" style="214"/>
    <col min="6166" max="6166" width="19.42578125" style="214" customWidth="1"/>
    <col min="6167" max="6167" width="11" style="214" customWidth="1"/>
    <col min="6168" max="6168" width="10.140625" style="214" customWidth="1"/>
    <col min="6169" max="6175" width="9.7109375" style="214" customWidth="1"/>
    <col min="6176" max="6176" width="12.140625" style="214" customWidth="1"/>
    <col min="6177" max="6178" width="9.7109375" style="214" customWidth="1"/>
    <col min="6179" max="6400" width="9.140625" style="214"/>
    <col min="6401" max="6401" width="2.85546875" style="214" customWidth="1"/>
    <col min="6402" max="6402" width="16.42578125" style="214" customWidth="1"/>
    <col min="6403" max="6403" width="16" style="214" customWidth="1"/>
    <col min="6404" max="6404" width="12.140625" style="214" customWidth="1"/>
    <col min="6405" max="6405" width="11.7109375" style="214" customWidth="1"/>
    <col min="6406" max="6406" width="9.7109375" style="214" customWidth="1"/>
    <col min="6407" max="6407" width="11" style="214" customWidth="1"/>
    <col min="6408" max="6408" width="9.7109375" style="214" customWidth="1"/>
    <col min="6409" max="6409" width="11.42578125" style="214" customWidth="1"/>
    <col min="6410" max="6410" width="9.7109375" style="214" customWidth="1"/>
    <col min="6411" max="6411" width="12.140625" style="214" customWidth="1"/>
    <col min="6412" max="6412" width="9.7109375" style="214" customWidth="1"/>
    <col min="6413" max="6414" width="10.7109375" style="214" customWidth="1"/>
    <col min="6415" max="6415" width="16.140625" style="214" customWidth="1"/>
    <col min="6416" max="6421" width="9.140625" style="214"/>
    <col min="6422" max="6422" width="19.42578125" style="214" customWidth="1"/>
    <col min="6423" max="6423" width="11" style="214" customWidth="1"/>
    <col min="6424" max="6424" width="10.140625" style="214" customWidth="1"/>
    <col min="6425" max="6431" width="9.7109375" style="214" customWidth="1"/>
    <col min="6432" max="6432" width="12.140625" style="214" customWidth="1"/>
    <col min="6433" max="6434" width="9.7109375" style="214" customWidth="1"/>
    <col min="6435" max="6656" width="9.140625" style="214"/>
    <col min="6657" max="6657" width="2.85546875" style="214" customWidth="1"/>
    <col min="6658" max="6658" width="16.42578125" style="214" customWidth="1"/>
    <col min="6659" max="6659" width="16" style="214" customWidth="1"/>
    <col min="6660" max="6660" width="12.140625" style="214" customWidth="1"/>
    <col min="6661" max="6661" width="11.7109375" style="214" customWidth="1"/>
    <col min="6662" max="6662" width="9.7109375" style="214" customWidth="1"/>
    <col min="6663" max="6663" width="11" style="214" customWidth="1"/>
    <col min="6664" max="6664" width="9.7109375" style="214" customWidth="1"/>
    <col min="6665" max="6665" width="11.42578125" style="214" customWidth="1"/>
    <col min="6666" max="6666" width="9.7109375" style="214" customWidth="1"/>
    <col min="6667" max="6667" width="12.140625" style="214" customWidth="1"/>
    <col min="6668" max="6668" width="9.7109375" style="214" customWidth="1"/>
    <col min="6669" max="6670" width="10.7109375" style="214" customWidth="1"/>
    <col min="6671" max="6671" width="16.140625" style="214" customWidth="1"/>
    <col min="6672" max="6677" width="9.140625" style="214"/>
    <col min="6678" max="6678" width="19.42578125" style="214" customWidth="1"/>
    <col min="6679" max="6679" width="11" style="214" customWidth="1"/>
    <col min="6680" max="6680" width="10.140625" style="214" customWidth="1"/>
    <col min="6681" max="6687" width="9.7109375" style="214" customWidth="1"/>
    <col min="6688" max="6688" width="12.140625" style="214" customWidth="1"/>
    <col min="6689" max="6690" width="9.7109375" style="214" customWidth="1"/>
    <col min="6691" max="6912" width="9.140625" style="214"/>
    <col min="6913" max="6913" width="2.85546875" style="214" customWidth="1"/>
    <col min="6914" max="6914" width="16.42578125" style="214" customWidth="1"/>
    <col min="6915" max="6915" width="16" style="214" customWidth="1"/>
    <col min="6916" max="6916" width="12.140625" style="214" customWidth="1"/>
    <col min="6917" max="6917" width="11.7109375" style="214" customWidth="1"/>
    <col min="6918" max="6918" width="9.7109375" style="214" customWidth="1"/>
    <col min="6919" max="6919" width="11" style="214" customWidth="1"/>
    <col min="6920" max="6920" width="9.7109375" style="214" customWidth="1"/>
    <col min="6921" max="6921" width="11.42578125" style="214" customWidth="1"/>
    <col min="6922" max="6922" width="9.7109375" style="214" customWidth="1"/>
    <col min="6923" max="6923" width="12.140625" style="214" customWidth="1"/>
    <col min="6924" max="6924" width="9.7109375" style="214" customWidth="1"/>
    <col min="6925" max="6926" width="10.7109375" style="214" customWidth="1"/>
    <col min="6927" max="6927" width="16.140625" style="214" customWidth="1"/>
    <col min="6928" max="6933" width="9.140625" style="214"/>
    <col min="6934" max="6934" width="19.42578125" style="214" customWidth="1"/>
    <col min="6935" max="6935" width="11" style="214" customWidth="1"/>
    <col min="6936" max="6936" width="10.140625" style="214" customWidth="1"/>
    <col min="6937" max="6943" width="9.7109375" style="214" customWidth="1"/>
    <col min="6944" max="6944" width="12.140625" style="214" customWidth="1"/>
    <col min="6945" max="6946" width="9.7109375" style="214" customWidth="1"/>
    <col min="6947" max="7168" width="9.140625" style="214"/>
    <col min="7169" max="7169" width="2.85546875" style="214" customWidth="1"/>
    <col min="7170" max="7170" width="16.42578125" style="214" customWidth="1"/>
    <col min="7171" max="7171" width="16" style="214" customWidth="1"/>
    <col min="7172" max="7172" width="12.140625" style="214" customWidth="1"/>
    <col min="7173" max="7173" width="11.7109375" style="214" customWidth="1"/>
    <col min="7174" max="7174" width="9.7109375" style="214" customWidth="1"/>
    <col min="7175" max="7175" width="11" style="214" customWidth="1"/>
    <col min="7176" max="7176" width="9.7109375" style="214" customWidth="1"/>
    <col min="7177" max="7177" width="11.42578125" style="214" customWidth="1"/>
    <col min="7178" max="7178" width="9.7109375" style="214" customWidth="1"/>
    <col min="7179" max="7179" width="12.140625" style="214" customWidth="1"/>
    <col min="7180" max="7180" width="9.7109375" style="214" customWidth="1"/>
    <col min="7181" max="7182" width="10.7109375" style="214" customWidth="1"/>
    <col min="7183" max="7183" width="16.140625" style="214" customWidth="1"/>
    <col min="7184" max="7189" width="9.140625" style="214"/>
    <col min="7190" max="7190" width="19.42578125" style="214" customWidth="1"/>
    <col min="7191" max="7191" width="11" style="214" customWidth="1"/>
    <col min="7192" max="7192" width="10.140625" style="214" customWidth="1"/>
    <col min="7193" max="7199" width="9.7109375" style="214" customWidth="1"/>
    <col min="7200" max="7200" width="12.140625" style="214" customWidth="1"/>
    <col min="7201" max="7202" width="9.7109375" style="214" customWidth="1"/>
    <col min="7203" max="7424" width="9.140625" style="214"/>
    <col min="7425" max="7425" width="2.85546875" style="214" customWidth="1"/>
    <col min="7426" max="7426" width="16.42578125" style="214" customWidth="1"/>
    <col min="7427" max="7427" width="16" style="214" customWidth="1"/>
    <col min="7428" max="7428" width="12.140625" style="214" customWidth="1"/>
    <col min="7429" max="7429" width="11.7109375" style="214" customWidth="1"/>
    <col min="7430" max="7430" width="9.7109375" style="214" customWidth="1"/>
    <col min="7431" max="7431" width="11" style="214" customWidth="1"/>
    <col min="7432" max="7432" width="9.7109375" style="214" customWidth="1"/>
    <col min="7433" max="7433" width="11.42578125" style="214" customWidth="1"/>
    <col min="7434" max="7434" width="9.7109375" style="214" customWidth="1"/>
    <col min="7435" max="7435" width="12.140625" style="214" customWidth="1"/>
    <col min="7436" max="7436" width="9.7109375" style="214" customWidth="1"/>
    <col min="7437" max="7438" width="10.7109375" style="214" customWidth="1"/>
    <col min="7439" max="7439" width="16.140625" style="214" customWidth="1"/>
    <col min="7440" max="7445" width="9.140625" style="214"/>
    <col min="7446" max="7446" width="19.42578125" style="214" customWidth="1"/>
    <col min="7447" max="7447" width="11" style="214" customWidth="1"/>
    <col min="7448" max="7448" width="10.140625" style="214" customWidth="1"/>
    <col min="7449" max="7455" width="9.7109375" style="214" customWidth="1"/>
    <col min="7456" max="7456" width="12.140625" style="214" customWidth="1"/>
    <col min="7457" max="7458" width="9.7109375" style="214" customWidth="1"/>
    <col min="7459" max="7680" width="9.140625" style="214"/>
    <col min="7681" max="7681" width="2.85546875" style="214" customWidth="1"/>
    <col min="7682" max="7682" width="16.42578125" style="214" customWidth="1"/>
    <col min="7683" max="7683" width="16" style="214" customWidth="1"/>
    <col min="7684" max="7684" width="12.140625" style="214" customWidth="1"/>
    <col min="7685" max="7685" width="11.7109375" style="214" customWidth="1"/>
    <col min="7686" max="7686" width="9.7109375" style="214" customWidth="1"/>
    <col min="7687" max="7687" width="11" style="214" customWidth="1"/>
    <col min="7688" max="7688" width="9.7109375" style="214" customWidth="1"/>
    <col min="7689" max="7689" width="11.42578125" style="214" customWidth="1"/>
    <col min="7690" max="7690" width="9.7109375" style="214" customWidth="1"/>
    <col min="7691" max="7691" width="12.140625" style="214" customWidth="1"/>
    <col min="7692" max="7692" width="9.7109375" style="214" customWidth="1"/>
    <col min="7693" max="7694" width="10.7109375" style="214" customWidth="1"/>
    <col min="7695" max="7695" width="16.140625" style="214" customWidth="1"/>
    <col min="7696" max="7701" width="9.140625" style="214"/>
    <col min="7702" max="7702" width="19.42578125" style="214" customWidth="1"/>
    <col min="7703" max="7703" width="11" style="214" customWidth="1"/>
    <col min="7704" max="7704" width="10.140625" style="214" customWidth="1"/>
    <col min="7705" max="7711" width="9.7109375" style="214" customWidth="1"/>
    <col min="7712" max="7712" width="12.140625" style="214" customWidth="1"/>
    <col min="7713" max="7714" width="9.7109375" style="214" customWidth="1"/>
    <col min="7715" max="7936" width="9.140625" style="214"/>
    <col min="7937" max="7937" width="2.85546875" style="214" customWidth="1"/>
    <col min="7938" max="7938" width="16.42578125" style="214" customWidth="1"/>
    <col min="7939" max="7939" width="16" style="214" customWidth="1"/>
    <col min="7940" max="7940" width="12.140625" style="214" customWidth="1"/>
    <col min="7941" max="7941" width="11.7109375" style="214" customWidth="1"/>
    <col min="7942" max="7942" width="9.7109375" style="214" customWidth="1"/>
    <col min="7943" max="7943" width="11" style="214" customWidth="1"/>
    <col min="7944" max="7944" width="9.7109375" style="214" customWidth="1"/>
    <col min="7945" max="7945" width="11.42578125" style="214" customWidth="1"/>
    <col min="7946" max="7946" width="9.7109375" style="214" customWidth="1"/>
    <col min="7947" max="7947" width="12.140625" style="214" customWidth="1"/>
    <col min="7948" max="7948" width="9.7109375" style="214" customWidth="1"/>
    <col min="7949" max="7950" width="10.7109375" style="214" customWidth="1"/>
    <col min="7951" max="7951" width="16.140625" style="214" customWidth="1"/>
    <col min="7952" max="7957" width="9.140625" style="214"/>
    <col min="7958" max="7958" width="19.42578125" style="214" customWidth="1"/>
    <col min="7959" max="7959" width="11" style="214" customWidth="1"/>
    <col min="7960" max="7960" width="10.140625" style="214" customWidth="1"/>
    <col min="7961" max="7967" width="9.7109375" style="214" customWidth="1"/>
    <col min="7968" max="7968" width="12.140625" style="214" customWidth="1"/>
    <col min="7969" max="7970" width="9.7109375" style="214" customWidth="1"/>
    <col min="7971" max="8192" width="9.140625" style="214"/>
    <col min="8193" max="8193" width="2.85546875" style="214" customWidth="1"/>
    <col min="8194" max="8194" width="16.42578125" style="214" customWidth="1"/>
    <col min="8195" max="8195" width="16" style="214" customWidth="1"/>
    <col min="8196" max="8196" width="12.140625" style="214" customWidth="1"/>
    <col min="8197" max="8197" width="11.7109375" style="214" customWidth="1"/>
    <col min="8198" max="8198" width="9.7109375" style="214" customWidth="1"/>
    <col min="8199" max="8199" width="11" style="214" customWidth="1"/>
    <col min="8200" max="8200" width="9.7109375" style="214" customWidth="1"/>
    <col min="8201" max="8201" width="11.42578125" style="214" customWidth="1"/>
    <col min="8202" max="8202" width="9.7109375" style="214" customWidth="1"/>
    <col min="8203" max="8203" width="12.140625" style="214" customWidth="1"/>
    <col min="8204" max="8204" width="9.7109375" style="214" customWidth="1"/>
    <col min="8205" max="8206" width="10.7109375" style="214" customWidth="1"/>
    <col min="8207" max="8207" width="16.140625" style="214" customWidth="1"/>
    <col min="8208" max="8213" width="9.140625" style="214"/>
    <col min="8214" max="8214" width="19.42578125" style="214" customWidth="1"/>
    <col min="8215" max="8215" width="11" style="214" customWidth="1"/>
    <col min="8216" max="8216" width="10.140625" style="214" customWidth="1"/>
    <col min="8217" max="8223" width="9.7109375" style="214" customWidth="1"/>
    <col min="8224" max="8224" width="12.140625" style="214" customWidth="1"/>
    <col min="8225" max="8226" width="9.7109375" style="214" customWidth="1"/>
    <col min="8227" max="8448" width="9.140625" style="214"/>
    <col min="8449" max="8449" width="2.85546875" style="214" customWidth="1"/>
    <col min="8450" max="8450" width="16.42578125" style="214" customWidth="1"/>
    <col min="8451" max="8451" width="16" style="214" customWidth="1"/>
    <col min="8452" max="8452" width="12.140625" style="214" customWidth="1"/>
    <col min="8453" max="8453" width="11.7109375" style="214" customWidth="1"/>
    <col min="8454" max="8454" width="9.7109375" style="214" customWidth="1"/>
    <col min="8455" max="8455" width="11" style="214" customWidth="1"/>
    <col min="8456" max="8456" width="9.7109375" style="214" customWidth="1"/>
    <col min="8457" max="8457" width="11.42578125" style="214" customWidth="1"/>
    <col min="8458" max="8458" width="9.7109375" style="214" customWidth="1"/>
    <col min="8459" max="8459" width="12.140625" style="214" customWidth="1"/>
    <col min="8460" max="8460" width="9.7109375" style="214" customWidth="1"/>
    <col min="8461" max="8462" width="10.7109375" style="214" customWidth="1"/>
    <col min="8463" max="8463" width="16.140625" style="214" customWidth="1"/>
    <col min="8464" max="8469" width="9.140625" style="214"/>
    <col min="8470" max="8470" width="19.42578125" style="214" customWidth="1"/>
    <col min="8471" max="8471" width="11" style="214" customWidth="1"/>
    <col min="8472" max="8472" width="10.140625" style="214" customWidth="1"/>
    <col min="8473" max="8479" width="9.7109375" style="214" customWidth="1"/>
    <col min="8480" max="8480" width="12.140625" style="214" customWidth="1"/>
    <col min="8481" max="8482" width="9.7109375" style="214" customWidth="1"/>
    <col min="8483" max="8704" width="9.140625" style="214"/>
    <col min="8705" max="8705" width="2.85546875" style="214" customWidth="1"/>
    <col min="8706" max="8706" width="16.42578125" style="214" customWidth="1"/>
    <col min="8707" max="8707" width="16" style="214" customWidth="1"/>
    <col min="8708" max="8708" width="12.140625" style="214" customWidth="1"/>
    <col min="8709" max="8709" width="11.7109375" style="214" customWidth="1"/>
    <col min="8710" max="8710" width="9.7109375" style="214" customWidth="1"/>
    <col min="8711" max="8711" width="11" style="214" customWidth="1"/>
    <col min="8712" max="8712" width="9.7109375" style="214" customWidth="1"/>
    <col min="8713" max="8713" width="11.42578125" style="214" customWidth="1"/>
    <col min="8714" max="8714" width="9.7109375" style="214" customWidth="1"/>
    <col min="8715" max="8715" width="12.140625" style="214" customWidth="1"/>
    <col min="8716" max="8716" width="9.7109375" style="214" customWidth="1"/>
    <col min="8717" max="8718" width="10.7109375" style="214" customWidth="1"/>
    <col min="8719" max="8719" width="16.140625" style="214" customWidth="1"/>
    <col min="8720" max="8725" width="9.140625" style="214"/>
    <col min="8726" max="8726" width="19.42578125" style="214" customWidth="1"/>
    <col min="8727" max="8727" width="11" style="214" customWidth="1"/>
    <col min="8728" max="8728" width="10.140625" style="214" customWidth="1"/>
    <col min="8729" max="8735" width="9.7109375" style="214" customWidth="1"/>
    <col min="8736" max="8736" width="12.140625" style="214" customWidth="1"/>
    <col min="8737" max="8738" width="9.7109375" style="214" customWidth="1"/>
    <col min="8739" max="8960" width="9.140625" style="214"/>
    <col min="8961" max="8961" width="2.85546875" style="214" customWidth="1"/>
    <col min="8962" max="8962" width="16.42578125" style="214" customWidth="1"/>
    <col min="8963" max="8963" width="16" style="214" customWidth="1"/>
    <col min="8964" max="8964" width="12.140625" style="214" customWidth="1"/>
    <col min="8965" max="8965" width="11.7109375" style="214" customWidth="1"/>
    <col min="8966" max="8966" width="9.7109375" style="214" customWidth="1"/>
    <col min="8967" max="8967" width="11" style="214" customWidth="1"/>
    <col min="8968" max="8968" width="9.7109375" style="214" customWidth="1"/>
    <col min="8969" max="8969" width="11.42578125" style="214" customWidth="1"/>
    <col min="8970" max="8970" width="9.7109375" style="214" customWidth="1"/>
    <col min="8971" max="8971" width="12.140625" style="214" customWidth="1"/>
    <col min="8972" max="8972" width="9.7109375" style="214" customWidth="1"/>
    <col min="8973" max="8974" width="10.7109375" style="214" customWidth="1"/>
    <col min="8975" max="8975" width="16.140625" style="214" customWidth="1"/>
    <col min="8976" max="8981" width="9.140625" style="214"/>
    <col min="8982" max="8982" width="19.42578125" style="214" customWidth="1"/>
    <col min="8983" max="8983" width="11" style="214" customWidth="1"/>
    <col min="8984" max="8984" width="10.140625" style="214" customWidth="1"/>
    <col min="8985" max="8991" width="9.7109375" style="214" customWidth="1"/>
    <col min="8992" max="8992" width="12.140625" style="214" customWidth="1"/>
    <col min="8993" max="8994" width="9.7109375" style="214" customWidth="1"/>
    <col min="8995" max="9216" width="9.140625" style="214"/>
    <col min="9217" max="9217" width="2.85546875" style="214" customWidth="1"/>
    <col min="9218" max="9218" width="16.42578125" style="214" customWidth="1"/>
    <col min="9219" max="9219" width="16" style="214" customWidth="1"/>
    <col min="9220" max="9220" width="12.140625" style="214" customWidth="1"/>
    <col min="9221" max="9221" width="11.7109375" style="214" customWidth="1"/>
    <col min="9222" max="9222" width="9.7109375" style="214" customWidth="1"/>
    <col min="9223" max="9223" width="11" style="214" customWidth="1"/>
    <col min="9224" max="9224" width="9.7109375" style="214" customWidth="1"/>
    <col min="9225" max="9225" width="11.42578125" style="214" customWidth="1"/>
    <col min="9226" max="9226" width="9.7109375" style="214" customWidth="1"/>
    <col min="9227" max="9227" width="12.140625" style="214" customWidth="1"/>
    <col min="9228" max="9228" width="9.7109375" style="214" customWidth="1"/>
    <col min="9229" max="9230" width="10.7109375" style="214" customWidth="1"/>
    <col min="9231" max="9231" width="16.140625" style="214" customWidth="1"/>
    <col min="9232" max="9237" width="9.140625" style="214"/>
    <col min="9238" max="9238" width="19.42578125" style="214" customWidth="1"/>
    <col min="9239" max="9239" width="11" style="214" customWidth="1"/>
    <col min="9240" max="9240" width="10.140625" style="214" customWidth="1"/>
    <col min="9241" max="9247" width="9.7109375" style="214" customWidth="1"/>
    <col min="9248" max="9248" width="12.140625" style="214" customWidth="1"/>
    <col min="9249" max="9250" width="9.7109375" style="214" customWidth="1"/>
    <col min="9251" max="9472" width="9.140625" style="214"/>
    <col min="9473" max="9473" width="2.85546875" style="214" customWidth="1"/>
    <col min="9474" max="9474" width="16.42578125" style="214" customWidth="1"/>
    <col min="9475" max="9475" width="16" style="214" customWidth="1"/>
    <col min="9476" max="9476" width="12.140625" style="214" customWidth="1"/>
    <col min="9477" max="9477" width="11.7109375" style="214" customWidth="1"/>
    <col min="9478" max="9478" width="9.7109375" style="214" customWidth="1"/>
    <col min="9479" max="9479" width="11" style="214" customWidth="1"/>
    <col min="9480" max="9480" width="9.7109375" style="214" customWidth="1"/>
    <col min="9481" max="9481" width="11.42578125" style="214" customWidth="1"/>
    <col min="9482" max="9482" width="9.7109375" style="214" customWidth="1"/>
    <col min="9483" max="9483" width="12.140625" style="214" customWidth="1"/>
    <col min="9484" max="9484" width="9.7109375" style="214" customWidth="1"/>
    <col min="9485" max="9486" width="10.7109375" style="214" customWidth="1"/>
    <col min="9487" max="9487" width="16.140625" style="214" customWidth="1"/>
    <col min="9488" max="9493" width="9.140625" style="214"/>
    <col min="9494" max="9494" width="19.42578125" style="214" customWidth="1"/>
    <col min="9495" max="9495" width="11" style="214" customWidth="1"/>
    <col min="9496" max="9496" width="10.140625" style="214" customWidth="1"/>
    <col min="9497" max="9503" width="9.7109375" style="214" customWidth="1"/>
    <col min="9504" max="9504" width="12.140625" style="214" customWidth="1"/>
    <col min="9505" max="9506" width="9.7109375" style="214" customWidth="1"/>
    <col min="9507" max="9728" width="9.140625" style="214"/>
    <col min="9729" max="9729" width="2.85546875" style="214" customWidth="1"/>
    <col min="9730" max="9730" width="16.42578125" style="214" customWidth="1"/>
    <col min="9731" max="9731" width="16" style="214" customWidth="1"/>
    <col min="9732" max="9732" width="12.140625" style="214" customWidth="1"/>
    <col min="9733" max="9733" width="11.7109375" style="214" customWidth="1"/>
    <col min="9734" max="9734" width="9.7109375" style="214" customWidth="1"/>
    <col min="9735" max="9735" width="11" style="214" customWidth="1"/>
    <col min="9736" max="9736" width="9.7109375" style="214" customWidth="1"/>
    <col min="9737" max="9737" width="11.42578125" style="214" customWidth="1"/>
    <col min="9738" max="9738" width="9.7109375" style="214" customWidth="1"/>
    <col min="9739" max="9739" width="12.140625" style="214" customWidth="1"/>
    <col min="9740" max="9740" width="9.7109375" style="214" customWidth="1"/>
    <col min="9741" max="9742" width="10.7109375" style="214" customWidth="1"/>
    <col min="9743" max="9743" width="16.140625" style="214" customWidth="1"/>
    <col min="9744" max="9749" width="9.140625" style="214"/>
    <col min="9750" max="9750" width="19.42578125" style="214" customWidth="1"/>
    <col min="9751" max="9751" width="11" style="214" customWidth="1"/>
    <col min="9752" max="9752" width="10.140625" style="214" customWidth="1"/>
    <col min="9753" max="9759" width="9.7109375" style="214" customWidth="1"/>
    <col min="9760" max="9760" width="12.140625" style="214" customWidth="1"/>
    <col min="9761" max="9762" width="9.7109375" style="214" customWidth="1"/>
    <col min="9763" max="9984" width="9.140625" style="214"/>
    <col min="9985" max="9985" width="2.85546875" style="214" customWidth="1"/>
    <col min="9986" max="9986" width="16.42578125" style="214" customWidth="1"/>
    <col min="9987" max="9987" width="16" style="214" customWidth="1"/>
    <col min="9988" max="9988" width="12.140625" style="214" customWidth="1"/>
    <col min="9989" max="9989" width="11.7109375" style="214" customWidth="1"/>
    <col min="9990" max="9990" width="9.7109375" style="214" customWidth="1"/>
    <col min="9991" max="9991" width="11" style="214" customWidth="1"/>
    <col min="9992" max="9992" width="9.7109375" style="214" customWidth="1"/>
    <col min="9993" max="9993" width="11.42578125" style="214" customWidth="1"/>
    <col min="9994" max="9994" width="9.7109375" style="214" customWidth="1"/>
    <col min="9995" max="9995" width="12.140625" style="214" customWidth="1"/>
    <col min="9996" max="9996" width="9.7109375" style="214" customWidth="1"/>
    <col min="9997" max="9998" width="10.7109375" style="214" customWidth="1"/>
    <col min="9999" max="9999" width="16.140625" style="214" customWidth="1"/>
    <col min="10000" max="10005" width="9.140625" style="214"/>
    <col min="10006" max="10006" width="19.42578125" style="214" customWidth="1"/>
    <col min="10007" max="10007" width="11" style="214" customWidth="1"/>
    <col min="10008" max="10008" width="10.140625" style="214" customWidth="1"/>
    <col min="10009" max="10015" width="9.7109375" style="214" customWidth="1"/>
    <col min="10016" max="10016" width="12.140625" style="214" customWidth="1"/>
    <col min="10017" max="10018" width="9.7109375" style="214" customWidth="1"/>
    <col min="10019" max="10240" width="9.140625" style="214"/>
    <col min="10241" max="10241" width="2.85546875" style="214" customWidth="1"/>
    <col min="10242" max="10242" width="16.42578125" style="214" customWidth="1"/>
    <col min="10243" max="10243" width="16" style="214" customWidth="1"/>
    <col min="10244" max="10244" width="12.140625" style="214" customWidth="1"/>
    <col min="10245" max="10245" width="11.7109375" style="214" customWidth="1"/>
    <col min="10246" max="10246" width="9.7109375" style="214" customWidth="1"/>
    <col min="10247" max="10247" width="11" style="214" customWidth="1"/>
    <col min="10248" max="10248" width="9.7109375" style="214" customWidth="1"/>
    <col min="10249" max="10249" width="11.42578125" style="214" customWidth="1"/>
    <col min="10250" max="10250" width="9.7109375" style="214" customWidth="1"/>
    <col min="10251" max="10251" width="12.140625" style="214" customWidth="1"/>
    <col min="10252" max="10252" width="9.7109375" style="214" customWidth="1"/>
    <col min="10253" max="10254" width="10.7109375" style="214" customWidth="1"/>
    <col min="10255" max="10255" width="16.140625" style="214" customWidth="1"/>
    <col min="10256" max="10261" width="9.140625" style="214"/>
    <col min="10262" max="10262" width="19.42578125" style="214" customWidth="1"/>
    <col min="10263" max="10263" width="11" style="214" customWidth="1"/>
    <col min="10264" max="10264" width="10.140625" style="214" customWidth="1"/>
    <col min="10265" max="10271" width="9.7109375" style="214" customWidth="1"/>
    <col min="10272" max="10272" width="12.140625" style="214" customWidth="1"/>
    <col min="10273" max="10274" width="9.7109375" style="214" customWidth="1"/>
    <col min="10275" max="10496" width="9.140625" style="214"/>
    <col min="10497" max="10497" width="2.85546875" style="214" customWidth="1"/>
    <col min="10498" max="10498" width="16.42578125" style="214" customWidth="1"/>
    <col min="10499" max="10499" width="16" style="214" customWidth="1"/>
    <col min="10500" max="10500" width="12.140625" style="214" customWidth="1"/>
    <col min="10501" max="10501" width="11.7109375" style="214" customWidth="1"/>
    <col min="10502" max="10502" width="9.7109375" style="214" customWidth="1"/>
    <col min="10503" max="10503" width="11" style="214" customWidth="1"/>
    <col min="10504" max="10504" width="9.7109375" style="214" customWidth="1"/>
    <col min="10505" max="10505" width="11.42578125" style="214" customWidth="1"/>
    <col min="10506" max="10506" width="9.7109375" style="214" customWidth="1"/>
    <col min="10507" max="10507" width="12.140625" style="214" customWidth="1"/>
    <col min="10508" max="10508" width="9.7109375" style="214" customWidth="1"/>
    <col min="10509" max="10510" width="10.7109375" style="214" customWidth="1"/>
    <col min="10511" max="10511" width="16.140625" style="214" customWidth="1"/>
    <col min="10512" max="10517" width="9.140625" style="214"/>
    <col min="10518" max="10518" width="19.42578125" style="214" customWidth="1"/>
    <col min="10519" max="10519" width="11" style="214" customWidth="1"/>
    <col min="10520" max="10520" width="10.140625" style="214" customWidth="1"/>
    <col min="10521" max="10527" width="9.7109375" style="214" customWidth="1"/>
    <col min="10528" max="10528" width="12.140625" style="214" customWidth="1"/>
    <col min="10529" max="10530" width="9.7109375" style="214" customWidth="1"/>
    <col min="10531" max="10752" width="9.140625" style="214"/>
    <col min="10753" max="10753" width="2.85546875" style="214" customWidth="1"/>
    <col min="10754" max="10754" width="16.42578125" style="214" customWidth="1"/>
    <col min="10755" max="10755" width="16" style="214" customWidth="1"/>
    <col min="10756" max="10756" width="12.140625" style="214" customWidth="1"/>
    <col min="10757" max="10757" width="11.7109375" style="214" customWidth="1"/>
    <col min="10758" max="10758" width="9.7109375" style="214" customWidth="1"/>
    <col min="10759" max="10759" width="11" style="214" customWidth="1"/>
    <col min="10760" max="10760" width="9.7109375" style="214" customWidth="1"/>
    <col min="10761" max="10761" width="11.42578125" style="214" customWidth="1"/>
    <col min="10762" max="10762" width="9.7109375" style="214" customWidth="1"/>
    <col min="10763" max="10763" width="12.140625" style="214" customWidth="1"/>
    <col min="10764" max="10764" width="9.7109375" style="214" customWidth="1"/>
    <col min="10765" max="10766" width="10.7109375" style="214" customWidth="1"/>
    <col min="10767" max="10767" width="16.140625" style="214" customWidth="1"/>
    <col min="10768" max="10773" width="9.140625" style="214"/>
    <col min="10774" max="10774" width="19.42578125" style="214" customWidth="1"/>
    <col min="10775" max="10775" width="11" style="214" customWidth="1"/>
    <col min="10776" max="10776" width="10.140625" style="214" customWidth="1"/>
    <col min="10777" max="10783" width="9.7109375" style="214" customWidth="1"/>
    <col min="10784" max="10784" width="12.140625" style="214" customWidth="1"/>
    <col min="10785" max="10786" width="9.7109375" style="214" customWidth="1"/>
    <col min="10787" max="11008" width="9.140625" style="214"/>
    <col min="11009" max="11009" width="2.85546875" style="214" customWidth="1"/>
    <col min="11010" max="11010" width="16.42578125" style="214" customWidth="1"/>
    <col min="11011" max="11011" width="16" style="214" customWidth="1"/>
    <col min="11012" max="11012" width="12.140625" style="214" customWidth="1"/>
    <col min="11013" max="11013" width="11.7109375" style="214" customWidth="1"/>
    <col min="11014" max="11014" width="9.7109375" style="214" customWidth="1"/>
    <col min="11015" max="11015" width="11" style="214" customWidth="1"/>
    <col min="11016" max="11016" width="9.7109375" style="214" customWidth="1"/>
    <col min="11017" max="11017" width="11.42578125" style="214" customWidth="1"/>
    <col min="11018" max="11018" width="9.7109375" style="214" customWidth="1"/>
    <col min="11019" max="11019" width="12.140625" style="214" customWidth="1"/>
    <col min="11020" max="11020" width="9.7109375" style="214" customWidth="1"/>
    <col min="11021" max="11022" width="10.7109375" style="214" customWidth="1"/>
    <col min="11023" max="11023" width="16.140625" style="214" customWidth="1"/>
    <col min="11024" max="11029" width="9.140625" style="214"/>
    <col min="11030" max="11030" width="19.42578125" style="214" customWidth="1"/>
    <col min="11031" max="11031" width="11" style="214" customWidth="1"/>
    <col min="11032" max="11032" width="10.140625" style="214" customWidth="1"/>
    <col min="11033" max="11039" width="9.7109375" style="214" customWidth="1"/>
    <col min="11040" max="11040" width="12.140625" style="214" customWidth="1"/>
    <col min="11041" max="11042" width="9.7109375" style="214" customWidth="1"/>
    <col min="11043" max="11264" width="9.140625" style="214"/>
    <col min="11265" max="11265" width="2.85546875" style="214" customWidth="1"/>
    <col min="11266" max="11266" width="16.42578125" style="214" customWidth="1"/>
    <col min="11267" max="11267" width="16" style="214" customWidth="1"/>
    <col min="11268" max="11268" width="12.140625" style="214" customWidth="1"/>
    <col min="11269" max="11269" width="11.7109375" style="214" customWidth="1"/>
    <col min="11270" max="11270" width="9.7109375" style="214" customWidth="1"/>
    <col min="11271" max="11271" width="11" style="214" customWidth="1"/>
    <col min="11272" max="11272" width="9.7109375" style="214" customWidth="1"/>
    <col min="11273" max="11273" width="11.42578125" style="214" customWidth="1"/>
    <col min="11274" max="11274" width="9.7109375" style="214" customWidth="1"/>
    <col min="11275" max="11275" width="12.140625" style="214" customWidth="1"/>
    <col min="11276" max="11276" width="9.7109375" style="214" customWidth="1"/>
    <col min="11277" max="11278" width="10.7109375" style="214" customWidth="1"/>
    <col min="11279" max="11279" width="16.140625" style="214" customWidth="1"/>
    <col min="11280" max="11285" width="9.140625" style="214"/>
    <col min="11286" max="11286" width="19.42578125" style="214" customWidth="1"/>
    <col min="11287" max="11287" width="11" style="214" customWidth="1"/>
    <col min="11288" max="11288" width="10.140625" style="214" customWidth="1"/>
    <col min="11289" max="11295" width="9.7109375" style="214" customWidth="1"/>
    <col min="11296" max="11296" width="12.140625" style="214" customWidth="1"/>
    <col min="11297" max="11298" width="9.7109375" style="214" customWidth="1"/>
    <col min="11299" max="11520" width="9.140625" style="214"/>
    <col min="11521" max="11521" width="2.85546875" style="214" customWidth="1"/>
    <col min="11522" max="11522" width="16.42578125" style="214" customWidth="1"/>
    <col min="11523" max="11523" width="16" style="214" customWidth="1"/>
    <col min="11524" max="11524" width="12.140625" style="214" customWidth="1"/>
    <col min="11525" max="11525" width="11.7109375" style="214" customWidth="1"/>
    <col min="11526" max="11526" width="9.7109375" style="214" customWidth="1"/>
    <col min="11527" max="11527" width="11" style="214" customWidth="1"/>
    <col min="11528" max="11528" width="9.7109375" style="214" customWidth="1"/>
    <col min="11529" max="11529" width="11.42578125" style="214" customWidth="1"/>
    <col min="11530" max="11530" width="9.7109375" style="214" customWidth="1"/>
    <col min="11531" max="11531" width="12.140625" style="214" customWidth="1"/>
    <col min="11532" max="11532" width="9.7109375" style="214" customWidth="1"/>
    <col min="11533" max="11534" width="10.7109375" style="214" customWidth="1"/>
    <col min="11535" max="11535" width="16.140625" style="214" customWidth="1"/>
    <col min="11536" max="11541" width="9.140625" style="214"/>
    <col min="11542" max="11542" width="19.42578125" style="214" customWidth="1"/>
    <col min="11543" max="11543" width="11" style="214" customWidth="1"/>
    <col min="11544" max="11544" width="10.140625" style="214" customWidth="1"/>
    <col min="11545" max="11551" width="9.7109375" style="214" customWidth="1"/>
    <col min="11552" max="11552" width="12.140625" style="214" customWidth="1"/>
    <col min="11553" max="11554" width="9.7109375" style="214" customWidth="1"/>
    <col min="11555" max="11776" width="9.140625" style="214"/>
    <col min="11777" max="11777" width="2.85546875" style="214" customWidth="1"/>
    <col min="11778" max="11778" width="16.42578125" style="214" customWidth="1"/>
    <col min="11779" max="11779" width="16" style="214" customWidth="1"/>
    <col min="11780" max="11780" width="12.140625" style="214" customWidth="1"/>
    <col min="11781" max="11781" width="11.7109375" style="214" customWidth="1"/>
    <col min="11782" max="11782" width="9.7109375" style="214" customWidth="1"/>
    <col min="11783" max="11783" width="11" style="214" customWidth="1"/>
    <col min="11784" max="11784" width="9.7109375" style="214" customWidth="1"/>
    <col min="11785" max="11785" width="11.42578125" style="214" customWidth="1"/>
    <col min="11786" max="11786" width="9.7109375" style="214" customWidth="1"/>
    <col min="11787" max="11787" width="12.140625" style="214" customWidth="1"/>
    <col min="11788" max="11788" width="9.7109375" style="214" customWidth="1"/>
    <col min="11789" max="11790" width="10.7109375" style="214" customWidth="1"/>
    <col min="11791" max="11791" width="16.140625" style="214" customWidth="1"/>
    <col min="11792" max="11797" width="9.140625" style="214"/>
    <col min="11798" max="11798" width="19.42578125" style="214" customWidth="1"/>
    <col min="11799" max="11799" width="11" style="214" customWidth="1"/>
    <col min="11800" max="11800" width="10.140625" style="214" customWidth="1"/>
    <col min="11801" max="11807" width="9.7109375" style="214" customWidth="1"/>
    <col min="11808" max="11808" width="12.140625" style="214" customWidth="1"/>
    <col min="11809" max="11810" width="9.7109375" style="214" customWidth="1"/>
    <col min="11811" max="12032" width="9.140625" style="214"/>
    <col min="12033" max="12033" width="2.85546875" style="214" customWidth="1"/>
    <col min="12034" max="12034" width="16.42578125" style="214" customWidth="1"/>
    <col min="12035" max="12035" width="16" style="214" customWidth="1"/>
    <col min="12036" max="12036" width="12.140625" style="214" customWidth="1"/>
    <col min="12037" max="12037" width="11.7109375" style="214" customWidth="1"/>
    <col min="12038" max="12038" width="9.7109375" style="214" customWidth="1"/>
    <col min="12039" max="12039" width="11" style="214" customWidth="1"/>
    <col min="12040" max="12040" width="9.7109375" style="214" customWidth="1"/>
    <col min="12041" max="12041" width="11.42578125" style="214" customWidth="1"/>
    <col min="12042" max="12042" width="9.7109375" style="214" customWidth="1"/>
    <col min="12043" max="12043" width="12.140625" style="214" customWidth="1"/>
    <col min="12044" max="12044" width="9.7109375" style="214" customWidth="1"/>
    <col min="12045" max="12046" width="10.7109375" style="214" customWidth="1"/>
    <col min="12047" max="12047" width="16.140625" style="214" customWidth="1"/>
    <col min="12048" max="12053" width="9.140625" style="214"/>
    <col min="12054" max="12054" width="19.42578125" style="214" customWidth="1"/>
    <col min="12055" max="12055" width="11" style="214" customWidth="1"/>
    <col min="12056" max="12056" width="10.140625" style="214" customWidth="1"/>
    <col min="12057" max="12063" width="9.7109375" style="214" customWidth="1"/>
    <col min="12064" max="12064" width="12.140625" style="214" customWidth="1"/>
    <col min="12065" max="12066" width="9.7109375" style="214" customWidth="1"/>
    <col min="12067" max="12288" width="9.140625" style="214"/>
    <col min="12289" max="12289" width="2.85546875" style="214" customWidth="1"/>
    <col min="12290" max="12290" width="16.42578125" style="214" customWidth="1"/>
    <col min="12291" max="12291" width="16" style="214" customWidth="1"/>
    <col min="12292" max="12292" width="12.140625" style="214" customWidth="1"/>
    <col min="12293" max="12293" width="11.7109375" style="214" customWidth="1"/>
    <col min="12294" max="12294" width="9.7109375" style="214" customWidth="1"/>
    <col min="12295" max="12295" width="11" style="214" customWidth="1"/>
    <col min="12296" max="12296" width="9.7109375" style="214" customWidth="1"/>
    <col min="12297" max="12297" width="11.42578125" style="214" customWidth="1"/>
    <col min="12298" max="12298" width="9.7109375" style="214" customWidth="1"/>
    <col min="12299" max="12299" width="12.140625" style="214" customWidth="1"/>
    <col min="12300" max="12300" width="9.7109375" style="214" customWidth="1"/>
    <col min="12301" max="12302" width="10.7109375" style="214" customWidth="1"/>
    <col min="12303" max="12303" width="16.140625" style="214" customWidth="1"/>
    <col min="12304" max="12309" width="9.140625" style="214"/>
    <col min="12310" max="12310" width="19.42578125" style="214" customWidth="1"/>
    <col min="12311" max="12311" width="11" style="214" customWidth="1"/>
    <col min="12312" max="12312" width="10.140625" style="214" customWidth="1"/>
    <col min="12313" max="12319" width="9.7109375" style="214" customWidth="1"/>
    <col min="12320" max="12320" width="12.140625" style="214" customWidth="1"/>
    <col min="12321" max="12322" width="9.7109375" style="214" customWidth="1"/>
    <col min="12323" max="12544" width="9.140625" style="214"/>
    <col min="12545" max="12545" width="2.85546875" style="214" customWidth="1"/>
    <col min="12546" max="12546" width="16.42578125" style="214" customWidth="1"/>
    <col min="12547" max="12547" width="16" style="214" customWidth="1"/>
    <col min="12548" max="12548" width="12.140625" style="214" customWidth="1"/>
    <col min="12549" max="12549" width="11.7109375" style="214" customWidth="1"/>
    <col min="12550" max="12550" width="9.7109375" style="214" customWidth="1"/>
    <col min="12551" max="12551" width="11" style="214" customWidth="1"/>
    <col min="12552" max="12552" width="9.7109375" style="214" customWidth="1"/>
    <col min="12553" max="12553" width="11.42578125" style="214" customWidth="1"/>
    <col min="12554" max="12554" width="9.7109375" style="214" customWidth="1"/>
    <col min="12555" max="12555" width="12.140625" style="214" customWidth="1"/>
    <col min="12556" max="12556" width="9.7109375" style="214" customWidth="1"/>
    <col min="12557" max="12558" width="10.7109375" style="214" customWidth="1"/>
    <col min="12559" max="12559" width="16.140625" style="214" customWidth="1"/>
    <col min="12560" max="12565" width="9.140625" style="214"/>
    <col min="12566" max="12566" width="19.42578125" style="214" customWidth="1"/>
    <col min="12567" max="12567" width="11" style="214" customWidth="1"/>
    <col min="12568" max="12568" width="10.140625" style="214" customWidth="1"/>
    <col min="12569" max="12575" width="9.7109375" style="214" customWidth="1"/>
    <col min="12576" max="12576" width="12.140625" style="214" customWidth="1"/>
    <col min="12577" max="12578" width="9.7109375" style="214" customWidth="1"/>
    <col min="12579" max="12800" width="9.140625" style="214"/>
    <col min="12801" max="12801" width="2.85546875" style="214" customWidth="1"/>
    <col min="12802" max="12802" width="16.42578125" style="214" customWidth="1"/>
    <col min="12803" max="12803" width="16" style="214" customWidth="1"/>
    <col min="12804" max="12804" width="12.140625" style="214" customWidth="1"/>
    <col min="12805" max="12805" width="11.7109375" style="214" customWidth="1"/>
    <col min="12806" max="12806" width="9.7109375" style="214" customWidth="1"/>
    <col min="12807" max="12807" width="11" style="214" customWidth="1"/>
    <col min="12808" max="12808" width="9.7109375" style="214" customWidth="1"/>
    <col min="12809" max="12809" width="11.42578125" style="214" customWidth="1"/>
    <col min="12810" max="12810" width="9.7109375" style="214" customWidth="1"/>
    <col min="12811" max="12811" width="12.140625" style="214" customWidth="1"/>
    <col min="12812" max="12812" width="9.7109375" style="214" customWidth="1"/>
    <col min="12813" max="12814" width="10.7109375" style="214" customWidth="1"/>
    <col min="12815" max="12815" width="16.140625" style="214" customWidth="1"/>
    <col min="12816" max="12821" width="9.140625" style="214"/>
    <col min="12822" max="12822" width="19.42578125" style="214" customWidth="1"/>
    <col min="12823" max="12823" width="11" style="214" customWidth="1"/>
    <col min="12824" max="12824" width="10.140625" style="214" customWidth="1"/>
    <col min="12825" max="12831" width="9.7109375" style="214" customWidth="1"/>
    <col min="12832" max="12832" width="12.140625" style="214" customWidth="1"/>
    <col min="12833" max="12834" width="9.7109375" style="214" customWidth="1"/>
    <col min="12835" max="13056" width="9.140625" style="214"/>
    <col min="13057" max="13057" width="2.85546875" style="214" customWidth="1"/>
    <col min="13058" max="13058" width="16.42578125" style="214" customWidth="1"/>
    <col min="13059" max="13059" width="16" style="214" customWidth="1"/>
    <col min="13060" max="13060" width="12.140625" style="214" customWidth="1"/>
    <col min="13061" max="13061" width="11.7109375" style="214" customWidth="1"/>
    <col min="13062" max="13062" width="9.7109375" style="214" customWidth="1"/>
    <col min="13063" max="13063" width="11" style="214" customWidth="1"/>
    <col min="13064" max="13064" width="9.7109375" style="214" customWidth="1"/>
    <col min="13065" max="13065" width="11.42578125" style="214" customWidth="1"/>
    <col min="13066" max="13066" width="9.7109375" style="214" customWidth="1"/>
    <col min="13067" max="13067" width="12.140625" style="214" customWidth="1"/>
    <col min="13068" max="13068" width="9.7109375" style="214" customWidth="1"/>
    <col min="13069" max="13070" width="10.7109375" style="214" customWidth="1"/>
    <col min="13071" max="13071" width="16.140625" style="214" customWidth="1"/>
    <col min="13072" max="13077" width="9.140625" style="214"/>
    <col min="13078" max="13078" width="19.42578125" style="214" customWidth="1"/>
    <col min="13079" max="13079" width="11" style="214" customWidth="1"/>
    <col min="13080" max="13080" width="10.140625" style="214" customWidth="1"/>
    <col min="13081" max="13087" width="9.7109375" style="214" customWidth="1"/>
    <col min="13088" max="13088" width="12.140625" style="214" customWidth="1"/>
    <col min="13089" max="13090" width="9.7109375" style="214" customWidth="1"/>
    <col min="13091" max="13312" width="9.140625" style="214"/>
    <col min="13313" max="13313" width="2.85546875" style="214" customWidth="1"/>
    <col min="13314" max="13314" width="16.42578125" style="214" customWidth="1"/>
    <col min="13315" max="13315" width="16" style="214" customWidth="1"/>
    <col min="13316" max="13316" width="12.140625" style="214" customWidth="1"/>
    <col min="13317" max="13317" width="11.7109375" style="214" customWidth="1"/>
    <col min="13318" max="13318" width="9.7109375" style="214" customWidth="1"/>
    <col min="13319" max="13319" width="11" style="214" customWidth="1"/>
    <col min="13320" max="13320" width="9.7109375" style="214" customWidth="1"/>
    <col min="13321" max="13321" width="11.42578125" style="214" customWidth="1"/>
    <col min="13322" max="13322" width="9.7109375" style="214" customWidth="1"/>
    <col min="13323" max="13323" width="12.140625" style="214" customWidth="1"/>
    <col min="13324" max="13324" width="9.7109375" style="214" customWidth="1"/>
    <col min="13325" max="13326" width="10.7109375" style="214" customWidth="1"/>
    <col min="13327" max="13327" width="16.140625" style="214" customWidth="1"/>
    <col min="13328" max="13333" width="9.140625" style="214"/>
    <col min="13334" max="13334" width="19.42578125" style="214" customWidth="1"/>
    <col min="13335" max="13335" width="11" style="214" customWidth="1"/>
    <col min="13336" max="13336" width="10.140625" style="214" customWidth="1"/>
    <col min="13337" max="13343" width="9.7109375" style="214" customWidth="1"/>
    <col min="13344" max="13344" width="12.140625" style="214" customWidth="1"/>
    <col min="13345" max="13346" width="9.7109375" style="214" customWidth="1"/>
    <col min="13347" max="13568" width="9.140625" style="214"/>
    <col min="13569" max="13569" width="2.85546875" style="214" customWidth="1"/>
    <col min="13570" max="13570" width="16.42578125" style="214" customWidth="1"/>
    <col min="13571" max="13571" width="16" style="214" customWidth="1"/>
    <col min="13572" max="13572" width="12.140625" style="214" customWidth="1"/>
    <col min="13573" max="13573" width="11.7109375" style="214" customWidth="1"/>
    <col min="13574" max="13574" width="9.7109375" style="214" customWidth="1"/>
    <col min="13575" max="13575" width="11" style="214" customWidth="1"/>
    <col min="13576" max="13576" width="9.7109375" style="214" customWidth="1"/>
    <col min="13577" max="13577" width="11.42578125" style="214" customWidth="1"/>
    <col min="13578" max="13578" width="9.7109375" style="214" customWidth="1"/>
    <col min="13579" max="13579" width="12.140625" style="214" customWidth="1"/>
    <col min="13580" max="13580" width="9.7109375" style="214" customWidth="1"/>
    <col min="13581" max="13582" width="10.7109375" style="214" customWidth="1"/>
    <col min="13583" max="13583" width="16.140625" style="214" customWidth="1"/>
    <col min="13584" max="13589" width="9.140625" style="214"/>
    <col min="13590" max="13590" width="19.42578125" style="214" customWidth="1"/>
    <col min="13591" max="13591" width="11" style="214" customWidth="1"/>
    <col min="13592" max="13592" width="10.140625" style="214" customWidth="1"/>
    <col min="13593" max="13599" width="9.7109375" style="214" customWidth="1"/>
    <col min="13600" max="13600" width="12.140625" style="214" customWidth="1"/>
    <col min="13601" max="13602" width="9.7109375" style="214" customWidth="1"/>
    <col min="13603" max="13824" width="9.140625" style="214"/>
    <col min="13825" max="13825" width="2.85546875" style="214" customWidth="1"/>
    <col min="13826" max="13826" width="16.42578125" style="214" customWidth="1"/>
    <col min="13827" max="13827" width="16" style="214" customWidth="1"/>
    <col min="13828" max="13828" width="12.140625" style="214" customWidth="1"/>
    <col min="13829" max="13829" width="11.7109375" style="214" customWidth="1"/>
    <col min="13830" max="13830" width="9.7109375" style="214" customWidth="1"/>
    <col min="13831" max="13831" width="11" style="214" customWidth="1"/>
    <col min="13832" max="13832" width="9.7109375" style="214" customWidth="1"/>
    <col min="13833" max="13833" width="11.42578125" style="214" customWidth="1"/>
    <col min="13834" max="13834" width="9.7109375" style="214" customWidth="1"/>
    <col min="13835" max="13835" width="12.140625" style="214" customWidth="1"/>
    <col min="13836" max="13836" width="9.7109375" style="214" customWidth="1"/>
    <col min="13837" max="13838" width="10.7109375" style="214" customWidth="1"/>
    <col min="13839" max="13839" width="16.140625" style="214" customWidth="1"/>
    <col min="13840" max="13845" width="9.140625" style="214"/>
    <col min="13846" max="13846" width="19.42578125" style="214" customWidth="1"/>
    <col min="13847" max="13847" width="11" style="214" customWidth="1"/>
    <col min="13848" max="13848" width="10.140625" style="214" customWidth="1"/>
    <col min="13849" max="13855" width="9.7109375" style="214" customWidth="1"/>
    <col min="13856" max="13856" width="12.140625" style="214" customWidth="1"/>
    <col min="13857" max="13858" width="9.7109375" style="214" customWidth="1"/>
    <col min="13859" max="14080" width="9.140625" style="214"/>
    <col min="14081" max="14081" width="2.85546875" style="214" customWidth="1"/>
    <col min="14082" max="14082" width="16.42578125" style="214" customWidth="1"/>
    <col min="14083" max="14083" width="16" style="214" customWidth="1"/>
    <col min="14084" max="14084" width="12.140625" style="214" customWidth="1"/>
    <col min="14085" max="14085" width="11.7109375" style="214" customWidth="1"/>
    <col min="14086" max="14086" width="9.7109375" style="214" customWidth="1"/>
    <col min="14087" max="14087" width="11" style="214" customWidth="1"/>
    <col min="14088" max="14088" width="9.7109375" style="214" customWidth="1"/>
    <col min="14089" max="14089" width="11.42578125" style="214" customWidth="1"/>
    <col min="14090" max="14090" width="9.7109375" style="214" customWidth="1"/>
    <col min="14091" max="14091" width="12.140625" style="214" customWidth="1"/>
    <col min="14092" max="14092" width="9.7109375" style="214" customWidth="1"/>
    <col min="14093" max="14094" width="10.7109375" style="214" customWidth="1"/>
    <col min="14095" max="14095" width="16.140625" style="214" customWidth="1"/>
    <col min="14096" max="14101" width="9.140625" style="214"/>
    <col min="14102" max="14102" width="19.42578125" style="214" customWidth="1"/>
    <col min="14103" max="14103" width="11" style="214" customWidth="1"/>
    <col min="14104" max="14104" width="10.140625" style="214" customWidth="1"/>
    <col min="14105" max="14111" width="9.7109375" style="214" customWidth="1"/>
    <col min="14112" max="14112" width="12.140625" style="214" customWidth="1"/>
    <col min="14113" max="14114" width="9.7109375" style="214" customWidth="1"/>
    <col min="14115" max="14336" width="9.140625" style="214"/>
    <col min="14337" max="14337" width="2.85546875" style="214" customWidth="1"/>
    <col min="14338" max="14338" width="16.42578125" style="214" customWidth="1"/>
    <col min="14339" max="14339" width="16" style="214" customWidth="1"/>
    <col min="14340" max="14340" width="12.140625" style="214" customWidth="1"/>
    <col min="14341" max="14341" width="11.7109375" style="214" customWidth="1"/>
    <col min="14342" max="14342" width="9.7109375" style="214" customWidth="1"/>
    <col min="14343" max="14343" width="11" style="214" customWidth="1"/>
    <col min="14344" max="14344" width="9.7109375" style="214" customWidth="1"/>
    <col min="14345" max="14345" width="11.42578125" style="214" customWidth="1"/>
    <col min="14346" max="14346" width="9.7109375" style="214" customWidth="1"/>
    <col min="14347" max="14347" width="12.140625" style="214" customWidth="1"/>
    <col min="14348" max="14348" width="9.7109375" style="214" customWidth="1"/>
    <col min="14349" max="14350" width="10.7109375" style="214" customWidth="1"/>
    <col min="14351" max="14351" width="16.140625" style="214" customWidth="1"/>
    <col min="14352" max="14357" width="9.140625" style="214"/>
    <col min="14358" max="14358" width="19.42578125" style="214" customWidth="1"/>
    <col min="14359" max="14359" width="11" style="214" customWidth="1"/>
    <col min="14360" max="14360" width="10.140625" style="214" customWidth="1"/>
    <col min="14361" max="14367" width="9.7109375" style="214" customWidth="1"/>
    <col min="14368" max="14368" width="12.140625" style="214" customWidth="1"/>
    <col min="14369" max="14370" width="9.7109375" style="214" customWidth="1"/>
    <col min="14371" max="14592" width="9.140625" style="214"/>
    <col min="14593" max="14593" width="2.85546875" style="214" customWidth="1"/>
    <col min="14594" max="14594" width="16.42578125" style="214" customWidth="1"/>
    <col min="14595" max="14595" width="16" style="214" customWidth="1"/>
    <col min="14596" max="14596" width="12.140625" style="214" customWidth="1"/>
    <col min="14597" max="14597" width="11.7109375" style="214" customWidth="1"/>
    <col min="14598" max="14598" width="9.7109375" style="214" customWidth="1"/>
    <col min="14599" max="14599" width="11" style="214" customWidth="1"/>
    <col min="14600" max="14600" width="9.7109375" style="214" customWidth="1"/>
    <col min="14601" max="14601" width="11.42578125" style="214" customWidth="1"/>
    <col min="14602" max="14602" width="9.7109375" style="214" customWidth="1"/>
    <col min="14603" max="14603" width="12.140625" style="214" customWidth="1"/>
    <col min="14604" max="14604" width="9.7109375" style="214" customWidth="1"/>
    <col min="14605" max="14606" width="10.7109375" style="214" customWidth="1"/>
    <col min="14607" max="14607" width="16.140625" style="214" customWidth="1"/>
    <col min="14608" max="14613" width="9.140625" style="214"/>
    <col min="14614" max="14614" width="19.42578125" style="214" customWidth="1"/>
    <col min="14615" max="14615" width="11" style="214" customWidth="1"/>
    <col min="14616" max="14616" width="10.140625" style="214" customWidth="1"/>
    <col min="14617" max="14623" width="9.7109375" style="214" customWidth="1"/>
    <col min="14624" max="14624" width="12.140625" style="214" customWidth="1"/>
    <col min="14625" max="14626" width="9.7109375" style="214" customWidth="1"/>
    <col min="14627" max="14848" width="9.140625" style="214"/>
    <col min="14849" max="14849" width="2.85546875" style="214" customWidth="1"/>
    <col min="14850" max="14850" width="16.42578125" style="214" customWidth="1"/>
    <col min="14851" max="14851" width="16" style="214" customWidth="1"/>
    <col min="14852" max="14852" width="12.140625" style="214" customWidth="1"/>
    <col min="14853" max="14853" width="11.7109375" style="214" customWidth="1"/>
    <col min="14854" max="14854" width="9.7109375" style="214" customWidth="1"/>
    <col min="14855" max="14855" width="11" style="214" customWidth="1"/>
    <col min="14856" max="14856" width="9.7109375" style="214" customWidth="1"/>
    <col min="14857" max="14857" width="11.42578125" style="214" customWidth="1"/>
    <col min="14858" max="14858" width="9.7109375" style="214" customWidth="1"/>
    <col min="14859" max="14859" width="12.140625" style="214" customWidth="1"/>
    <col min="14860" max="14860" width="9.7109375" style="214" customWidth="1"/>
    <col min="14861" max="14862" width="10.7109375" style="214" customWidth="1"/>
    <col min="14863" max="14863" width="16.140625" style="214" customWidth="1"/>
    <col min="14864" max="14869" width="9.140625" style="214"/>
    <col min="14870" max="14870" width="19.42578125" style="214" customWidth="1"/>
    <col min="14871" max="14871" width="11" style="214" customWidth="1"/>
    <col min="14872" max="14872" width="10.140625" style="214" customWidth="1"/>
    <col min="14873" max="14879" width="9.7109375" style="214" customWidth="1"/>
    <col min="14880" max="14880" width="12.140625" style="214" customWidth="1"/>
    <col min="14881" max="14882" width="9.7109375" style="214" customWidth="1"/>
    <col min="14883" max="15104" width="9.140625" style="214"/>
    <col min="15105" max="15105" width="2.85546875" style="214" customWidth="1"/>
    <col min="15106" max="15106" width="16.42578125" style="214" customWidth="1"/>
    <col min="15107" max="15107" width="16" style="214" customWidth="1"/>
    <col min="15108" max="15108" width="12.140625" style="214" customWidth="1"/>
    <col min="15109" max="15109" width="11.7109375" style="214" customWidth="1"/>
    <col min="15110" max="15110" width="9.7109375" style="214" customWidth="1"/>
    <col min="15111" max="15111" width="11" style="214" customWidth="1"/>
    <col min="15112" max="15112" width="9.7109375" style="214" customWidth="1"/>
    <col min="15113" max="15113" width="11.42578125" style="214" customWidth="1"/>
    <col min="15114" max="15114" width="9.7109375" style="214" customWidth="1"/>
    <col min="15115" max="15115" width="12.140625" style="214" customWidth="1"/>
    <col min="15116" max="15116" width="9.7109375" style="214" customWidth="1"/>
    <col min="15117" max="15118" width="10.7109375" style="214" customWidth="1"/>
    <col min="15119" max="15119" width="16.140625" style="214" customWidth="1"/>
    <col min="15120" max="15125" width="9.140625" style="214"/>
    <col min="15126" max="15126" width="19.42578125" style="214" customWidth="1"/>
    <col min="15127" max="15127" width="11" style="214" customWidth="1"/>
    <col min="15128" max="15128" width="10.140625" style="214" customWidth="1"/>
    <col min="15129" max="15135" width="9.7109375" style="214" customWidth="1"/>
    <col min="15136" max="15136" width="12.140625" style="214" customWidth="1"/>
    <col min="15137" max="15138" width="9.7109375" style="214" customWidth="1"/>
    <col min="15139" max="15360" width="9.140625" style="214"/>
    <col min="15361" max="15361" width="2.85546875" style="214" customWidth="1"/>
    <col min="15362" max="15362" width="16.42578125" style="214" customWidth="1"/>
    <col min="15363" max="15363" width="16" style="214" customWidth="1"/>
    <col min="15364" max="15364" width="12.140625" style="214" customWidth="1"/>
    <col min="15365" max="15365" width="11.7109375" style="214" customWidth="1"/>
    <col min="15366" max="15366" width="9.7109375" style="214" customWidth="1"/>
    <col min="15367" max="15367" width="11" style="214" customWidth="1"/>
    <col min="15368" max="15368" width="9.7109375" style="214" customWidth="1"/>
    <col min="15369" max="15369" width="11.42578125" style="214" customWidth="1"/>
    <col min="15370" max="15370" width="9.7109375" style="214" customWidth="1"/>
    <col min="15371" max="15371" width="12.140625" style="214" customWidth="1"/>
    <col min="15372" max="15372" width="9.7109375" style="214" customWidth="1"/>
    <col min="15373" max="15374" width="10.7109375" style="214" customWidth="1"/>
    <col min="15375" max="15375" width="16.140625" style="214" customWidth="1"/>
    <col min="15376" max="15381" width="9.140625" style="214"/>
    <col min="15382" max="15382" width="19.42578125" style="214" customWidth="1"/>
    <col min="15383" max="15383" width="11" style="214" customWidth="1"/>
    <col min="15384" max="15384" width="10.140625" style="214" customWidth="1"/>
    <col min="15385" max="15391" width="9.7109375" style="214" customWidth="1"/>
    <col min="15392" max="15392" width="12.140625" style="214" customWidth="1"/>
    <col min="15393" max="15394" width="9.7109375" style="214" customWidth="1"/>
    <col min="15395" max="15616" width="9.140625" style="214"/>
    <col min="15617" max="15617" width="2.85546875" style="214" customWidth="1"/>
    <col min="15618" max="15618" width="16.42578125" style="214" customWidth="1"/>
    <col min="15619" max="15619" width="16" style="214" customWidth="1"/>
    <col min="15620" max="15620" width="12.140625" style="214" customWidth="1"/>
    <col min="15621" max="15621" width="11.7109375" style="214" customWidth="1"/>
    <col min="15622" max="15622" width="9.7109375" style="214" customWidth="1"/>
    <col min="15623" max="15623" width="11" style="214" customWidth="1"/>
    <col min="15624" max="15624" width="9.7109375" style="214" customWidth="1"/>
    <col min="15625" max="15625" width="11.42578125" style="214" customWidth="1"/>
    <col min="15626" max="15626" width="9.7109375" style="214" customWidth="1"/>
    <col min="15627" max="15627" width="12.140625" style="214" customWidth="1"/>
    <col min="15628" max="15628" width="9.7109375" style="214" customWidth="1"/>
    <col min="15629" max="15630" width="10.7109375" style="214" customWidth="1"/>
    <col min="15631" max="15631" width="16.140625" style="214" customWidth="1"/>
    <col min="15632" max="15637" width="9.140625" style="214"/>
    <col min="15638" max="15638" width="19.42578125" style="214" customWidth="1"/>
    <col min="15639" max="15639" width="11" style="214" customWidth="1"/>
    <col min="15640" max="15640" width="10.140625" style="214" customWidth="1"/>
    <col min="15641" max="15647" width="9.7109375" style="214" customWidth="1"/>
    <col min="15648" max="15648" width="12.140625" style="214" customWidth="1"/>
    <col min="15649" max="15650" width="9.7109375" style="214" customWidth="1"/>
    <col min="15651" max="15872" width="9.140625" style="214"/>
    <col min="15873" max="15873" width="2.85546875" style="214" customWidth="1"/>
    <col min="15874" max="15874" width="16.42578125" style="214" customWidth="1"/>
    <col min="15875" max="15875" width="16" style="214" customWidth="1"/>
    <col min="15876" max="15876" width="12.140625" style="214" customWidth="1"/>
    <col min="15877" max="15877" width="11.7109375" style="214" customWidth="1"/>
    <col min="15878" max="15878" width="9.7109375" style="214" customWidth="1"/>
    <col min="15879" max="15879" width="11" style="214" customWidth="1"/>
    <col min="15880" max="15880" width="9.7109375" style="214" customWidth="1"/>
    <col min="15881" max="15881" width="11.42578125" style="214" customWidth="1"/>
    <col min="15882" max="15882" width="9.7109375" style="214" customWidth="1"/>
    <col min="15883" max="15883" width="12.140625" style="214" customWidth="1"/>
    <col min="15884" max="15884" width="9.7109375" style="214" customWidth="1"/>
    <col min="15885" max="15886" width="10.7109375" style="214" customWidth="1"/>
    <col min="15887" max="15887" width="16.140625" style="214" customWidth="1"/>
    <col min="15888" max="15893" width="9.140625" style="214"/>
    <col min="15894" max="15894" width="19.42578125" style="214" customWidth="1"/>
    <col min="15895" max="15895" width="11" style="214" customWidth="1"/>
    <col min="15896" max="15896" width="10.140625" style="214" customWidth="1"/>
    <col min="15897" max="15903" width="9.7109375" style="214" customWidth="1"/>
    <col min="15904" max="15904" width="12.140625" style="214" customWidth="1"/>
    <col min="15905" max="15906" width="9.7109375" style="214" customWidth="1"/>
    <col min="15907" max="16128" width="9.140625" style="214"/>
    <col min="16129" max="16129" width="2.85546875" style="214" customWidth="1"/>
    <col min="16130" max="16130" width="16.42578125" style="214" customWidth="1"/>
    <col min="16131" max="16131" width="16" style="214" customWidth="1"/>
    <col min="16132" max="16132" width="12.140625" style="214" customWidth="1"/>
    <col min="16133" max="16133" width="11.7109375" style="214" customWidth="1"/>
    <col min="16134" max="16134" width="9.7109375" style="214" customWidth="1"/>
    <col min="16135" max="16135" width="11" style="214" customWidth="1"/>
    <col min="16136" max="16136" width="9.7109375" style="214" customWidth="1"/>
    <col min="16137" max="16137" width="11.42578125" style="214" customWidth="1"/>
    <col min="16138" max="16138" width="9.7109375" style="214" customWidth="1"/>
    <col min="16139" max="16139" width="12.140625" style="214" customWidth="1"/>
    <col min="16140" max="16140" width="9.7109375" style="214" customWidth="1"/>
    <col min="16141" max="16142" width="10.7109375" style="214" customWidth="1"/>
    <col min="16143" max="16143" width="16.140625" style="214" customWidth="1"/>
    <col min="16144" max="16149" width="9.140625" style="214"/>
    <col min="16150" max="16150" width="19.42578125" style="214" customWidth="1"/>
    <col min="16151" max="16151" width="11" style="214" customWidth="1"/>
    <col min="16152" max="16152" width="10.140625" style="214" customWidth="1"/>
    <col min="16153" max="16159" width="9.7109375" style="214" customWidth="1"/>
    <col min="16160" max="16160" width="12.140625" style="214" customWidth="1"/>
    <col min="16161" max="16162" width="9.7109375" style="214" customWidth="1"/>
    <col min="16163" max="16384" width="9.140625" style="214"/>
  </cols>
  <sheetData>
    <row r="1" spans="1:35" ht="15" x14ac:dyDescent="0.25">
      <c r="B1" s="472" t="s">
        <v>149</v>
      </c>
      <c r="O1" s="472" t="s">
        <v>150</v>
      </c>
      <c r="V1" s="472" t="s">
        <v>151</v>
      </c>
    </row>
    <row r="2" spans="1:35" ht="12.75" customHeight="1" x14ac:dyDescent="0.2">
      <c r="B2" s="750" t="s">
        <v>152</v>
      </c>
      <c r="C2" s="750"/>
      <c r="D2" s="750"/>
      <c r="E2" s="750"/>
      <c r="F2" s="750"/>
      <c r="G2" s="750"/>
      <c r="H2" s="750"/>
    </row>
    <row r="3" spans="1:35" ht="13.5" thickBot="1" x14ac:dyDescent="0.25">
      <c r="B3" s="750"/>
      <c r="C3" s="750"/>
      <c r="D3" s="750"/>
      <c r="E3" s="750"/>
      <c r="F3" s="750"/>
      <c r="G3" s="750"/>
      <c r="H3" s="750"/>
    </row>
    <row r="4" spans="1:35" ht="15.75" thickBot="1" x14ac:dyDescent="0.3">
      <c r="R4"/>
      <c r="S4"/>
      <c r="V4" s="474" t="s">
        <v>153</v>
      </c>
      <c r="W4" s="475">
        <f>P10</f>
        <v>0.4</v>
      </c>
      <c r="X4" s="476">
        <f>P12</f>
        <v>0.24</v>
      </c>
      <c r="Y4" s="476">
        <f>P8</f>
        <v>0.15</v>
      </c>
      <c r="Z4" s="476">
        <f>P11</f>
        <v>0.43</v>
      </c>
      <c r="AA4" s="476">
        <f>P9</f>
        <v>0.2</v>
      </c>
      <c r="AB4" s="476">
        <f>P13</f>
        <v>0.24</v>
      </c>
      <c r="AC4" s="476">
        <f>P14</f>
        <v>0.05</v>
      </c>
      <c r="AD4" s="476">
        <f>P15</f>
        <v>0.39</v>
      </c>
      <c r="AE4" s="477">
        <v>0</v>
      </c>
    </row>
    <row r="5" spans="1:35" ht="13.5" customHeight="1" thickBot="1" x14ac:dyDescent="0.3">
      <c r="B5" s="478"/>
      <c r="C5" s="479"/>
      <c r="D5" s="751" t="s">
        <v>154</v>
      </c>
      <c r="E5" s="752"/>
      <c r="F5" s="752"/>
      <c r="G5" s="747"/>
      <c r="H5" s="752" t="s">
        <v>155</v>
      </c>
      <c r="I5" s="752"/>
      <c r="J5" s="752"/>
      <c r="K5" s="747"/>
      <c r="L5" s="480"/>
      <c r="M5" s="480"/>
      <c r="N5" s="480"/>
      <c r="R5"/>
      <c r="S5"/>
      <c r="V5" s="481" t="s">
        <v>156</v>
      </c>
      <c r="W5" s="482">
        <v>10</v>
      </c>
      <c r="AF5" s="753" t="s">
        <v>157</v>
      </c>
      <c r="AG5" s="753" t="s">
        <v>158</v>
      </c>
      <c r="AH5" s="753" t="s">
        <v>159</v>
      </c>
      <c r="AI5"/>
    </row>
    <row r="6" spans="1:35" ht="15.75" thickBot="1" x14ac:dyDescent="0.3">
      <c r="B6" s="483"/>
      <c r="C6" s="484"/>
      <c r="D6" s="756" t="s">
        <v>160</v>
      </c>
      <c r="E6" s="756"/>
      <c r="F6" s="756" t="s">
        <v>161</v>
      </c>
      <c r="G6" s="756"/>
      <c r="H6" s="756" t="s">
        <v>160</v>
      </c>
      <c r="I6" s="756"/>
      <c r="J6" s="756" t="s">
        <v>162</v>
      </c>
      <c r="K6" s="756"/>
      <c r="L6" s="480"/>
      <c r="M6" s="480"/>
      <c r="N6" s="480"/>
      <c r="P6"/>
      <c r="Q6"/>
      <c r="R6"/>
      <c r="S6"/>
      <c r="W6" s="713" t="s">
        <v>163</v>
      </c>
      <c r="X6" s="740"/>
      <c r="Y6" s="740"/>
      <c r="Z6" s="740"/>
      <c r="AA6" s="740"/>
      <c r="AB6" s="740"/>
      <c r="AC6" s="740"/>
      <c r="AD6" s="740"/>
      <c r="AE6" s="740"/>
      <c r="AF6" s="754"/>
      <c r="AG6" s="754"/>
      <c r="AH6" s="754"/>
      <c r="AI6"/>
    </row>
    <row r="7" spans="1:35" ht="27" thickBot="1" x14ac:dyDescent="0.3">
      <c r="B7" s="713" t="s">
        <v>164</v>
      </c>
      <c r="C7" s="741"/>
      <c r="D7" s="485" t="s">
        <v>165</v>
      </c>
      <c r="E7" s="486" t="s">
        <v>18</v>
      </c>
      <c r="F7" s="487" t="s">
        <v>165</v>
      </c>
      <c r="G7" s="486" t="s">
        <v>18</v>
      </c>
      <c r="H7" s="487" t="s">
        <v>165</v>
      </c>
      <c r="I7" s="486" t="s">
        <v>18</v>
      </c>
      <c r="J7" s="487" t="s">
        <v>165</v>
      </c>
      <c r="K7" s="486" t="s">
        <v>18</v>
      </c>
      <c r="M7" s="488"/>
      <c r="N7" s="488"/>
      <c r="O7" s="489"/>
      <c r="P7" s="485" t="s">
        <v>165</v>
      </c>
      <c r="Q7" s="486" t="s">
        <v>18</v>
      </c>
      <c r="R7"/>
      <c r="S7"/>
      <c r="T7" s="490"/>
      <c r="V7" s="474"/>
      <c r="W7" s="491" t="s">
        <v>166</v>
      </c>
      <c r="X7" s="492" t="s">
        <v>25</v>
      </c>
      <c r="Y7" s="492" t="s">
        <v>21</v>
      </c>
      <c r="Z7" s="492" t="s">
        <v>82</v>
      </c>
      <c r="AA7" s="492" t="s">
        <v>167</v>
      </c>
      <c r="AB7" s="492" t="s">
        <v>168</v>
      </c>
      <c r="AC7" s="492" t="s">
        <v>27</v>
      </c>
      <c r="AD7" s="492" t="s">
        <v>169</v>
      </c>
      <c r="AE7" s="492" t="s">
        <v>170</v>
      </c>
      <c r="AF7" s="755"/>
      <c r="AG7" s="755"/>
      <c r="AH7" s="755"/>
      <c r="AI7"/>
    </row>
    <row r="8" spans="1:35" ht="25.5" customHeight="1" x14ac:dyDescent="0.25">
      <c r="B8" s="742" t="s">
        <v>171</v>
      </c>
      <c r="C8" s="493" t="s">
        <v>172</v>
      </c>
      <c r="D8" s="494">
        <v>0.04</v>
      </c>
      <c r="E8" s="495" t="s">
        <v>173</v>
      </c>
      <c r="F8" s="496">
        <v>0.06</v>
      </c>
      <c r="G8" s="497" t="s">
        <v>174</v>
      </c>
      <c r="H8" s="494">
        <v>4.4999999999999998E-2</v>
      </c>
      <c r="I8" s="495" t="s">
        <v>175</v>
      </c>
      <c r="J8" s="496">
        <v>7.0000000000000007E-2</v>
      </c>
      <c r="K8" s="495" t="s">
        <v>176</v>
      </c>
      <c r="M8" s="498"/>
      <c r="N8" s="498"/>
      <c r="O8" s="499" t="s">
        <v>21</v>
      </c>
      <c r="P8" s="500">
        <v>0.15</v>
      </c>
      <c r="Q8" s="501" t="s">
        <v>177</v>
      </c>
      <c r="R8"/>
      <c r="S8"/>
      <c r="T8" s="490"/>
      <c r="U8" s="490">
        <v>1</v>
      </c>
      <c r="V8" s="502" t="s">
        <v>178</v>
      </c>
      <c r="W8" s="503">
        <v>18.8</v>
      </c>
      <c r="X8" s="504">
        <v>3.5</v>
      </c>
      <c r="Y8" s="504">
        <v>26.2</v>
      </c>
      <c r="Z8" s="504">
        <v>3.5</v>
      </c>
      <c r="AA8" s="504"/>
      <c r="AB8" s="504"/>
      <c r="AC8" s="504"/>
      <c r="AD8" s="504">
        <v>1</v>
      </c>
      <c r="AE8" s="504">
        <f>100-SUM(W8:AD8)</f>
        <v>47</v>
      </c>
      <c r="AF8" s="505">
        <v>0.55000000000000004</v>
      </c>
      <c r="AG8" s="506">
        <v>0.55000000000000004</v>
      </c>
      <c r="AH8" s="507">
        <f>ROUND((W8*W$4+X8*X$4+Y8*Y$4+Z8*Z$4+AA8*AA$4+AB8*AB$4+AC8*AC$4+AD8*AD$4)/100,2)</f>
        <v>0.14000000000000001</v>
      </c>
      <c r="AI8"/>
    </row>
    <row r="9" spans="1:35" ht="25.5" x14ac:dyDescent="0.25">
      <c r="B9" s="743"/>
      <c r="C9" s="508" t="s">
        <v>179</v>
      </c>
      <c r="D9" s="509">
        <v>0.02</v>
      </c>
      <c r="E9" s="510" t="s">
        <v>180</v>
      </c>
      <c r="F9" s="511">
        <v>0.03</v>
      </c>
      <c r="G9" s="512" t="s">
        <v>181</v>
      </c>
      <c r="H9" s="509">
        <v>2.5000000000000001E-2</v>
      </c>
      <c r="I9" s="510" t="s">
        <v>181</v>
      </c>
      <c r="J9" s="511">
        <v>3.5000000000000003E-2</v>
      </c>
      <c r="K9" s="510" t="s">
        <v>173</v>
      </c>
      <c r="M9" s="498"/>
      <c r="N9" s="498"/>
      <c r="O9" s="513" t="s">
        <v>22</v>
      </c>
      <c r="P9" s="514">
        <v>0.2</v>
      </c>
      <c r="Q9" s="515" t="s">
        <v>182</v>
      </c>
      <c r="R9"/>
      <c r="S9"/>
      <c r="T9" s="490"/>
      <c r="U9" s="490">
        <v>2</v>
      </c>
      <c r="V9" s="516" t="s">
        <v>183</v>
      </c>
      <c r="W9" s="517">
        <v>11.3</v>
      </c>
      <c r="X9" s="518">
        <v>2.5</v>
      </c>
      <c r="Y9" s="518">
        <v>40.299999999999997</v>
      </c>
      <c r="Z9" s="518">
        <v>7.9</v>
      </c>
      <c r="AA9" s="518"/>
      <c r="AB9" s="518"/>
      <c r="AC9" s="518"/>
      <c r="AD9" s="518">
        <v>0.8</v>
      </c>
      <c r="AE9" s="518">
        <f t="shared" ref="AE9:AE26" si="0">100-SUM(W9:AD9)</f>
        <v>37.20000000000001</v>
      </c>
      <c r="AF9" s="519">
        <v>0.21</v>
      </c>
      <c r="AG9" s="520">
        <v>0.74</v>
      </c>
      <c r="AH9" s="521">
        <f t="shared" ref="AH9:AH26" si="1">ROUND((W9*W$4+X9*X$4+Y9*Y$4+Z9*Z$4+AA9*AA$4+AB9*AB$4+AC9*AC$4+AD9*AD$4)/100,2)</f>
        <v>0.15</v>
      </c>
      <c r="AI9"/>
    </row>
    <row r="10" spans="1:35" ht="25.5" customHeight="1" x14ac:dyDescent="0.25">
      <c r="B10" s="522" t="s">
        <v>184</v>
      </c>
      <c r="C10" s="508" t="s">
        <v>185</v>
      </c>
      <c r="D10" s="523">
        <v>0.05</v>
      </c>
      <c r="E10" s="524" t="s">
        <v>175</v>
      </c>
      <c r="F10" s="525">
        <v>0.1</v>
      </c>
      <c r="G10" s="526" t="s">
        <v>186</v>
      </c>
      <c r="H10" s="523">
        <v>6.5000000000000002E-2</v>
      </c>
      <c r="I10" s="524" t="s">
        <v>187</v>
      </c>
      <c r="J10" s="525">
        <v>0.17</v>
      </c>
      <c r="K10" s="524" t="s">
        <v>188</v>
      </c>
      <c r="M10" s="498"/>
      <c r="N10" s="498"/>
      <c r="O10" s="513" t="s">
        <v>23</v>
      </c>
      <c r="P10" s="514">
        <v>0.4</v>
      </c>
      <c r="Q10" s="515" t="s">
        <v>189</v>
      </c>
      <c r="R10"/>
      <c r="S10"/>
      <c r="T10" s="490"/>
      <c r="U10" s="490">
        <v>3</v>
      </c>
      <c r="V10" s="516" t="s">
        <v>190</v>
      </c>
      <c r="W10" s="517">
        <v>12.9</v>
      </c>
      <c r="X10" s="518">
        <v>2.7</v>
      </c>
      <c r="Y10" s="518">
        <v>43.5</v>
      </c>
      <c r="Z10" s="518">
        <v>9.9</v>
      </c>
      <c r="AA10" s="518"/>
      <c r="AB10" s="518"/>
      <c r="AC10" s="518"/>
      <c r="AD10" s="518">
        <v>0.9</v>
      </c>
      <c r="AE10" s="518">
        <f t="shared" si="0"/>
        <v>30.099999999999994</v>
      </c>
      <c r="AF10" s="519">
        <v>0.27</v>
      </c>
      <c r="AG10" s="520">
        <v>0.59</v>
      </c>
      <c r="AH10" s="521">
        <f t="shared" si="1"/>
        <v>0.17</v>
      </c>
      <c r="AI10"/>
    </row>
    <row r="11" spans="1:35" ht="25.5" customHeight="1" thickBot="1" x14ac:dyDescent="0.3">
      <c r="B11" s="527" t="s">
        <v>191</v>
      </c>
      <c r="C11" s="528" t="s">
        <v>192</v>
      </c>
      <c r="D11" s="523">
        <v>0.06</v>
      </c>
      <c r="E11" s="524" t="s">
        <v>187</v>
      </c>
      <c r="F11" s="525">
        <v>0.185</v>
      </c>
      <c r="G11" s="526" t="s">
        <v>193</v>
      </c>
      <c r="H11" s="529">
        <v>8.5000000000000006E-2</v>
      </c>
      <c r="I11" s="530" t="s">
        <v>194</v>
      </c>
      <c r="J11" s="531">
        <v>0.4</v>
      </c>
      <c r="K11" s="530" t="s">
        <v>195</v>
      </c>
      <c r="M11" s="498"/>
      <c r="N11" s="498"/>
      <c r="O11" s="513" t="s">
        <v>24</v>
      </c>
      <c r="P11" s="514">
        <v>0.43</v>
      </c>
      <c r="Q11" s="515" t="s">
        <v>196</v>
      </c>
      <c r="R11"/>
      <c r="S11"/>
      <c r="T11" s="490"/>
      <c r="U11" s="490">
        <v>4</v>
      </c>
      <c r="V11" s="516" t="s">
        <v>197</v>
      </c>
      <c r="W11" s="517">
        <v>18</v>
      </c>
      <c r="X11" s="518">
        <v>2.9</v>
      </c>
      <c r="Y11" s="518">
        <v>41.1</v>
      </c>
      <c r="Z11" s="518">
        <v>9.8000000000000007</v>
      </c>
      <c r="AA11" s="518"/>
      <c r="AB11" s="518"/>
      <c r="AC11" s="518"/>
      <c r="AD11" s="518">
        <v>0.6</v>
      </c>
      <c r="AE11" s="518">
        <f t="shared" si="0"/>
        <v>27.600000000000009</v>
      </c>
      <c r="AF11" s="519">
        <f>AF$32</f>
        <v>0.42055555555555557</v>
      </c>
      <c r="AG11" s="532">
        <f>AG$32</f>
        <v>0.676111111111111</v>
      </c>
      <c r="AH11" s="521">
        <f t="shared" si="1"/>
        <v>0.19</v>
      </c>
      <c r="AI11"/>
    </row>
    <row r="12" spans="1:35" ht="26.25" thickBot="1" x14ac:dyDescent="0.3">
      <c r="B12" s="533" t="s">
        <v>198</v>
      </c>
      <c r="C12" s="534" t="s">
        <v>199</v>
      </c>
      <c r="D12" s="535">
        <v>0.05</v>
      </c>
      <c r="E12" s="536" t="s">
        <v>175</v>
      </c>
      <c r="F12" s="537">
        <v>0.09</v>
      </c>
      <c r="G12" s="538" t="s">
        <v>200</v>
      </c>
      <c r="H12" s="535">
        <v>6.5000000000000002E-2</v>
      </c>
      <c r="I12" s="536" t="s">
        <v>187</v>
      </c>
      <c r="J12" s="537">
        <v>0.17</v>
      </c>
      <c r="K12" s="536" t="s">
        <v>188</v>
      </c>
      <c r="M12" s="498"/>
      <c r="N12" s="498"/>
      <c r="O12" s="513" t="s">
        <v>25</v>
      </c>
      <c r="P12" s="514">
        <v>0.24</v>
      </c>
      <c r="Q12" s="515" t="s">
        <v>201</v>
      </c>
      <c r="R12"/>
      <c r="S12"/>
      <c r="U12" s="490">
        <v>5</v>
      </c>
      <c r="V12" s="516" t="s">
        <v>202</v>
      </c>
      <c r="W12" s="517">
        <v>7.7</v>
      </c>
      <c r="X12" s="518">
        <v>1.7</v>
      </c>
      <c r="Y12" s="518">
        <v>53.9</v>
      </c>
      <c r="Z12" s="518">
        <v>7</v>
      </c>
      <c r="AA12" s="518"/>
      <c r="AB12" s="518"/>
      <c r="AC12" s="518"/>
      <c r="AD12" s="518">
        <v>1.1000000000000001</v>
      </c>
      <c r="AE12" s="518">
        <f t="shared" si="0"/>
        <v>28.600000000000009</v>
      </c>
      <c r="AF12" s="519">
        <v>0.28999999999999998</v>
      </c>
      <c r="AG12" s="532">
        <v>0.69</v>
      </c>
      <c r="AH12" s="521">
        <f t="shared" si="1"/>
        <v>0.15</v>
      </c>
      <c r="AI12"/>
    </row>
    <row r="13" spans="1:35" ht="25.5" x14ac:dyDescent="0.25">
      <c r="I13" s="539"/>
      <c r="M13" s="498"/>
      <c r="N13" s="498"/>
      <c r="O13" s="540" t="s">
        <v>26</v>
      </c>
      <c r="P13" s="541">
        <v>0.24</v>
      </c>
      <c r="Q13" s="542" t="s">
        <v>203</v>
      </c>
      <c r="R13"/>
      <c r="S13"/>
      <c r="U13" s="490">
        <v>6</v>
      </c>
      <c r="V13" s="516" t="s">
        <v>204</v>
      </c>
      <c r="W13" s="517">
        <v>16.8</v>
      </c>
      <c r="X13" s="518">
        <v>2.5</v>
      </c>
      <c r="Y13" s="518">
        <v>43.4</v>
      </c>
      <c r="Z13" s="518">
        <v>6.5</v>
      </c>
      <c r="AA13" s="543"/>
      <c r="AB13" s="518"/>
      <c r="AC13" s="518"/>
      <c r="AD13" s="543"/>
      <c r="AE13" s="518">
        <f t="shared" si="0"/>
        <v>30.799999999999997</v>
      </c>
      <c r="AF13" s="519">
        <v>0.28999999999999998</v>
      </c>
      <c r="AG13" s="532">
        <v>0.69</v>
      </c>
      <c r="AH13" s="521">
        <f t="shared" si="1"/>
        <v>0.17</v>
      </c>
      <c r="AI13"/>
    </row>
    <row r="14" spans="1:35" ht="15" x14ac:dyDescent="0.25">
      <c r="A14" s="539"/>
      <c r="B14" s="544" t="s">
        <v>205</v>
      </c>
      <c r="C14" s="539"/>
      <c r="D14" s="539"/>
      <c r="E14" s="539"/>
      <c r="F14" s="539"/>
      <c r="G14" s="539"/>
      <c r="H14" s="539"/>
      <c r="I14" s="539"/>
      <c r="J14" s="539"/>
      <c r="K14" s="539"/>
      <c r="L14" s="539"/>
      <c r="M14" s="498"/>
      <c r="N14" s="498"/>
      <c r="O14" s="540" t="s">
        <v>27</v>
      </c>
      <c r="P14" s="541">
        <v>0.05</v>
      </c>
      <c r="Q14" s="542" t="s">
        <v>206</v>
      </c>
      <c r="R14"/>
      <c r="S14"/>
      <c r="U14" s="490">
        <v>7</v>
      </c>
      <c r="V14" s="516" t="s">
        <v>207</v>
      </c>
      <c r="W14" s="517">
        <v>16.5</v>
      </c>
      <c r="X14" s="518">
        <v>2.5</v>
      </c>
      <c r="Y14" s="518">
        <v>51.1</v>
      </c>
      <c r="Z14" s="518">
        <v>2</v>
      </c>
      <c r="AA14" s="543"/>
      <c r="AB14" s="518"/>
      <c r="AC14" s="518"/>
      <c r="AD14" s="543"/>
      <c r="AE14" s="518">
        <f t="shared" si="0"/>
        <v>27.900000000000006</v>
      </c>
      <c r="AF14" s="519">
        <v>0.28999999999999998</v>
      </c>
      <c r="AG14" s="532">
        <v>0.69</v>
      </c>
      <c r="AH14" s="521">
        <f t="shared" si="1"/>
        <v>0.16</v>
      </c>
      <c r="AI14"/>
    </row>
    <row r="15" spans="1:35" ht="15.75" thickBot="1" x14ac:dyDescent="0.3">
      <c r="M15" s="498"/>
      <c r="N15" s="498"/>
      <c r="O15" s="540" t="s">
        <v>208</v>
      </c>
      <c r="P15" s="541">
        <v>0.39</v>
      </c>
      <c r="Q15" s="542" t="s">
        <v>209</v>
      </c>
      <c r="R15"/>
      <c r="S15"/>
      <c r="U15" s="490">
        <v>8</v>
      </c>
      <c r="V15" s="516" t="s">
        <v>210</v>
      </c>
      <c r="W15" s="517">
        <v>25</v>
      </c>
      <c r="X15" s="518"/>
      <c r="Y15" s="518">
        <v>23</v>
      </c>
      <c r="Z15" s="518">
        <v>15</v>
      </c>
      <c r="AA15" s="518"/>
      <c r="AB15" s="518"/>
      <c r="AC15" s="518"/>
      <c r="AD15" s="518"/>
      <c r="AE15" s="518">
        <f t="shared" si="0"/>
        <v>37</v>
      </c>
      <c r="AF15" s="519">
        <v>0.28999999999999998</v>
      </c>
      <c r="AG15" s="532">
        <v>0.69</v>
      </c>
      <c r="AH15" s="521">
        <f t="shared" si="1"/>
        <v>0.2</v>
      </c>
      <c r="AI15"/>
    </row>
    <row r="16" spans="1:35" ht="26.25" thickBot="1" x14ac:dyDescent="0.3">
      <c r="C16" s="545" t="s">
        <v>211</v>
      </c>
      <c r="D16" s="546" t="s">
        <v>212</v>
      </c>
      <c r="E16" s="547" t="s">
        <v>213</v>
      </c>
      <c r="G16" s="548" t="s">
        <v>214</v>
      </c>
      <c r="N16" s="498"/>
      <c r="O16" s="549" t="s">
        <v>215</v>
      </c>
      <c r="P16" s="550">
        <v>0.18</v>
      </c>
      <c r="Q16" s="551" t="s">
        <v>216</v>
      </c>
      <c r="R16"/>
      <c r="S16"/>
      <c r="U16" s="490">
        <v>9</v>
      </c>
      <c r="V16" s="516" t="s">
        <v>217</v>
      </c>
      <c r="W16" s="517">
        <v>9.8000000000000007</v>
      </c>
      <c r="X16" s="518">
        <v>1</v>
      </c>
      <c r="Y16" s="518">
        <v>40.4</v>
      </c>
      <c r="Z16" s="518">
        <v>4.4000000000000004</v>
      </c>
      <c r="AA16" s="518"/>
      <c r="AB16" s="518"/>
      <c r="AC16" s="518"/>
      <c r="AD16" s="518"/>
      <c r="AE16" s="518">
        <f t="shared" si="0"/>
        <v>44.4</v>
      </c>
      <c r="AF16" s="519">
        <v>0.28999999999999998</v>
      </c>
      <c r="AG16" s="532">
        <v>0.69</v>
      </c>
      <c r="AH16" s="521">
        <f t="shared" si="1"/>
        <v>0.12</v>
      </c>
      <c r="AI16"/>
    </row>
    <row r="17" spans="1:35" ht="15.75" thickBot="1" x14ac:dyDescent="0.3">
      <c r="A17" s="214">
        <v>1</v>
      </c>
      <c r="B17" s="552" t="s">
        <v>218</v>
      </c>
      <c r="C17" s="553" t="s">
        <v>219</v>
      </c>
      <c r="D17" s="554"/>
      <c r="E17" s="555" t="s">
        <v>220</v>
      </c>
      <c r="G17" s="556">
        <v>2</v>
      </c>
      <c r="M17" s="539"/>
      <c r="O17" s="557" t="s">
        <v>30</v>
      </c>
      <c r="P17" s="558">
        <v>0.15</v>
      </c>
      <c r="Q17" s="559" t="s">
        <v>221</v>
      </c>
      <c r="R17"/>
      <c r="S17"/>
      <c r="U17" s="490">
        <v>10</v>
      </c>
      <c r="V17" s="516" t="s">
        <v>222</v>
      </c>
      <c r="W17" s="517">
        <v>21.8</v>
      </c>
      <c r="X17" s="518">
        <v>4.7</v>
      </c>
      <c r="Y17" s="518">
        <v>30.1</v>
      </c>
      <c r="Z17" s="518">
        <v>7.5</v>
      </c>
      <c r="AA17" s="518"/>
      <c r="AB17" s="518"/>
      <c r="AC17" s="518"/>
      <c r="AD17" s="518">
        <v>1.4</v>
      </c>
      <c r="AE17" s="518">
        <f t="shared" si="0"/>
        <v>34.5</v>
      </c>
      <c r="AF17" s="519">
        <v>0.38</v>
      </c>
      <c r="AG17" s="520">
        <v>0.9</v>
      </c>
      <c r="AH17" s="521">
        <f t="shared" si="1"/>
        <v>0.18</v>
      </c>
      <c r="AI17"/>
    </row>
    <row r="18" spans="1:35" ht="15.75" thickBot="1" x14ac:dyDescent="0.3">
      <c r="A18" s="214">
        <v>2</v>
      </c>
      <c r="B18" s="552" t="s">
        <v>223</v>
      </c>
      <c r="C18" s="560" t="s">
        <v>219</v>
      </c>
      <c r="D18" s="561"/>
      <c r="E18" s="562" t="s">
        <v>224</v>
      </c>
      <c r="U18" s="490">
        <v>11</v>
      </c>
      <c r="V18" s="516" t="s">
        <v>225</v>
      </c>
      <c r="W18" s="517">
        <v>30.6</v>
      </c>
      <c r="X18" s="518">
        <v>2</v>
      </c>
      <c r="Y18" s="518">
        <v>23.8</v>
      </c>
      <c r="Z18" s="518">
        <v>10</v>
      </c>
      <c r="AA18" s="518"/>
      <c r="AB18" s="518"/>
      <c r="AC18" s="518"/>
      <c r="AD18" s="518"/>
      <c r="AE18" s="518">
        <f t="shared" si="0"/>
        <v>33.599999999999994</v>
      </c>
      <c r="AF18" s="519">
        <v>0.64</v>
      </c>
      <c r="AG18" s="520">
        <v>0.47</v>
      </c>
      <c r="AH18" s="521">
        <f t="shared" si="1"/>
        <v>0.21</v>
      </c>
      <c r="AI18"/>
    </row>
    <row r="19" spans="1:35" s="539" customFormat="1" ht="15.75" thickBot="1" x14ac:dyDescent="0.3">
      <c r="A19" s="214">
        <v>3</v>
      </c>
      <c r="B19" s="552" t="s">
        <v>226</v>
      </c>
      <c r="C19" s="560" t="s">
        <v>227</v>
      </c>
      <c r="D19" s="561" t="s">
        <v>228</v>
      </c>
      <c r="E19" s="562"/>
      <c r="F19" s="214"/>
      <c r="G19" s="214"/>
      <c r="H19" s="214"/>
      <c r="I19" s="214"/>
      <c r="J19" s="214"/>
      <c r="K19" s="214"/>
      <c r="L19" s="214"/>
      <c r="M19" s="214"/>
      <c r="O19" s="563" t="s">
        <v>229</v>
      </c>
      <c r="P19" s="214">
        <v>1</v>
      </c>
      <c r="Q19" s="214" t="s">
        <v>230</v>
      </c>
      <c r="R19" s="214"/>
      <c r="S19" s="214"/>
      <c r="U19" s="490">
        <v>12</v>
      </c>
      <c r="V19" s="516" t="s">
        <v>231</v>
      </c>
      <c r="W19" s="517">
        <v>17</v>
      </c>
      <c r="X19" s="518"/>
      <c r="Y19" s="518">
        <v>36.9</v>
      </c>
      <c r="Z19" s="518">
        <v>10.6</v>
      </c>
      <c r="AA19" s="518"/>
      <c r="AB19" s="518"/>
      <c r="AC19" s="518"/>
      <c r="AD19" s="518"/>
      <c r="AE19" s="518">
        <f t="shared" si="0"/>
        <v>35.5</v>
      </c>
      <c r="AF19" s="519">
        <v>0.52</v>
      </c>
      <c r="AG19" s="520">
        <v>0.85</v>
      </c>
      <c r="AH19" s="521">
        <f t="shared" si="1"/>
        <v>0.17</v>
      </c>
      <c r="AI19"/>
    </row>
    <row r="20" spans="1:35" ht="26.25" thickBot="1" x14ac:dyDescent="0.3">
      <c r="A20" s="564">
        <v>4</v>
      </c>
      <c r="B20" s="552" t="s">
        <v>232</v>
      </c>
      <c r="C20" s="565" t="s">
        <v>227</v>
      </c>
      <c r="D20" s="566" t="s">
        <v>233</v>
      </c>
      <c r="E20" s="567"/>
      <c r="O20" s="556">
        <v>1</v>
      </c>
      <c r="P20" s="214">
        <v>2</v>
      </c>
      <c r="Q20" s="214" t="s">
        <v>234</v>
      </c>
      <c r="U20" s="490">
        <v>13</v>
      </c>
      <c r="V20" s="516" t="s">
        <v>235</v>
      </c>
      <c r="W20" s="517">
        <v>27.5</v>
      </c>
      <c r="X20" s="518"/>
      <c r="Y20" s="518">
        <v>24.2</v>
      </c>
      <c r="Z20" s="518">
        <v>11</v>
      </c>
      <c r="AA20" s="518"/>
      <c r="AB20" s="518"/>
      <c r="AC20" s="518"/>
      <c r="AD20" s="518"/>
      <c r="AE20" s="518">
        <f t="shared" si="0"/>
        <v>37.299999999999997</v>
      </c>
      <c r="AF20" s="519">
        <v>0.56000000000000005</v>
      </c>
      <c r="AG20" s="520">
        <v>0.47</v>
      </c>
      <c r="AH20" s="521">
        <f t="shared" si="1"/>
        <v>0.19</v>
      </c>
      <c r="AI20"/>
    </row>
    <row r="21" spans="1:35" ht="25.5" x14ac:dyDescent="0.25">
      <c r="A21" s="564"/>
      <c r="B21" s="488"/>
      <c r="C21" s="564"/>
      <c r="D21" s="564"/>
      <c r="E21" s="564"/>
      <c r="S21" s="539"/>
      <c r="U21" s="490">
        <v>14</v>
      </c>
      <c r="V21" s="516" t="s">
        <v>236</v>
      </c>
      <c r="W21" s="517">
        <v>30</v>
      </c>
      <c r="X21" s="518"/>
      <c r="Y21" s="518">
        <v>36</v>
      </c>
      <c r="Z21" s="518">
        <v>24</v>
      </c>
      <c r="AA21" s="518"/>
      <c r="AB21" s="518"/>
      <c r="AC21" s="518"/>
      <c r="AD21" s="518"/>
      <c r="AE21" s="518">
        <f t="shared" si="0"/>
        <v>10</v>
      </c>
      <c r="AF21" s="519">
        <v>0.69</v>
      </c>
      <c r="AG21" s="520">
        <v>0.85</v>
      </c>
      <c r="AH21" s="521">
        <f t="shared" si="1"/>
        <v>0.28000000000000003</v>
      </c>
      <c r="AI21"/>
    </row>
    <row r="22" spans="1:35" ht="25.5" x14ac:dyDescent="0.25">
      <c r="U22" s="490">
        <v>15</v>
      </c>
      <c r="V22" s="516" t="s">
        <v>237</v>
      </c>
      <c r="W22" s="517">
        <v>6</v>
      </c>
      <c r="X22" s="518"/>
      <c r="Y22" s="518">
        <v>67.5</v>
      </c>
      <c r="Z22" s="518">
        <v>2.5</v>
      </c>
      <c r="AA22" s="518"/>
      <c r="AB22" s="518"/>
      <c r="AC22" s="518"/>
      <c r="AD22" s="518"/>
      <c r="AE22" s="518">
        <f t="shared" si="0"/>
        <v>24</v>
      </c>
      <c r="AF22" s="519">
        <v>0.69</v>
      </c>
      <c r="AG22" s="520">
        <v>0.85</v>
      </c>
      <c r="AH22" s="521">
        <f t="shared" si="1"/>
        <v>0.14000000000000001</v>
      </c>
      <c r="AI22"/>
    </row>
    <row r="23" spans="1:35" ht="15" x14ac:dyDescent="0.25">
      <c r="B23" s="214" t="s">
        <v>238</v>
      </c>
      <c r="U23" s="490">
        <v>16</v>
      </c>
      <c r="V23" s="516" t="s">
        <v>239</v>
      </c>
      <c r="W23" s="517">
        <v>23.2</v>
      </c>
      <c r="X23" s="518">
        <v>3.9</v>
      </c>
      <c r="Y23" s="518">
        <v>33.9</v>
      </c>
      <c r="Z23" s="518">
        <v>6.2</v>
      </c>
      <c r="AA23" s="518"/>
      <c r="AB23" s="518"/>
      <c r="AC23" s="518"/>
      <c r="AD23" s="518">
        <v>1.4</v>
      </c>
      <c r="AE23" s="518">
        <f t="shared" si="0"/>
        <v>31.399999999999991</v>
      </c>
      <c r="AF23" s="519">
        <v>0.65</v>
      </c>
      <c r="AG23" s="520">
        <v>0.57999999999999996</v>
      </c>
      <c r="AH23" s="521">
        <f t="shared" si="1"/>
        <v>0.19</v>
      </c>
      <c r="AI23"/>
    </row>
    <row r="24" spans="1:35" ht="15" x14ac:dyDescent="0.25">
      <c r="B24" s="214" t="s">
        <v>240</v>
      </c>
      <c r="U24" s="490">
        <v>17</v>
      </c>
      <c r="V24" s="516" t="s">
        <v>241</v>
      </c>
      <c r="W24" s="517">
        <v>13.7</v>
      </c>
      <c r="X24" s="518">
        <v>2.6</v>
      </c>
      <c r="Y24" s="518">
        <v>43.8</v>
      </c>
      <c r="Z24" s="518">
        <v>13.5</v>
      </c>
      <c r="AA24" s="518"/>
      <c r="AB24" s="518"/>
      <c r="AC24" s="518"/>
      <c r="AD24" s="518">
        <v>1.8</v>
      </c>
      <c r="AE24" s="518">
        <f t="shared" si="0"/>
        <v>24.600000000000009</v>
      </c>
      <c r="AF24" s="519">
        <v>0.21</v>
      </c>
      <c r="AG24" s="520">
        <v>0.5</v>
      </c>
      <c r="AH24" s="521">
        <f t="shared" si="1"/>
        <v>0.19</v>
      </c>
      <c r="AI24"/>
    </row>
    <row r="25" spans="1:35" ht="15" x14ac:dyDescent="0.25">
      <c r="B25" s="214" t="s">
        <v>242</v>
      </c>
      <c r="U25" s="490">
        <v>18</v>
      </c>
      <c r="V25" s="516" t="s">
        <v>243</v>
      </c>
      <c r="W25" s="517">
        <v>17.100000000000001</v>
      </c>
      <c r="X25" s="518">
        <v>2.6</v>
      </c>
      <c r="Y25" s="518">
        <v>44.9</v>
      </c>
      <c r="Z25" s="518">
        <v>4.7</v>
      </c>
      <c r="AA25" s="518"/>
      <c r="AB25" s="518"/>
      <c r="AC25" s="518"/>
      <c r="AD25" s="518">
        <v>0.7</v>
      </c>
      <c r="AE25" s="518">
        <f t="shared" si="0"/>
        <v>30</v>
      </c>
      <c r="AF25" s="519">
        <v>0.26</v>
      </c>
      <c r="AG25" s="520">
        <v>0.54</v>
      </c>
      <c r="AH25" s="521">
        <f t="shared" si="1"/>
        <v>0.16</v>
      </c>
      <c r="AI25"/>
    </row>
    <row r="26" spans="1:35" ht="15.75" thickBot="1" x14ac:dyDescent="0.3">
      <c r="B26" s="744" t="s">
        <v>244</v>
      </c>
      <c r="C26" s="744"/>
      <c r="D26" s="744"/>
      <c r="E26" s="744"/>
      <c r="F26" s="744"/>
      <c r="G26" s="744"/>
      <c r="H26" s="744"/>
      <c r="U26" s="490">
        <v>19</v>
      </c>
      <c r="V26" s="516" t="s">
        <v>245</v>
      </c>
      <c r="W26" s="568">
        <v>17</v>
      </c>
      <c r="X26" s="569">
        <v>5.0999999999999996</v>
      </c>
      <c r="Y26" s="569">
        <v>46.9</v>
      </c>
      <c r="Z26" s="569">
        <v>2.4</v>
      </c>
      <c r="AA26" s="569"/>
      <c r="AB26" s="569"/>
      <c r="AC26" s="569"/>
      <c r="AD26" s="569">
        <v>1.9</v>
      </c>
      <c r="AE26" s="569">
        <f t="shared" si="0"/>
        <v>26.699999999999989</v>
      </c>
      <c r="AF26" s="570">
        <v>0.49</v>
      </c>
      <c r="AG26" s="571">
        <v>0.83</v>
      </c>
      <c r="AH26" s="572">
        <f t="shared" si="1"/>
        <v>0.17</v>
      </c>
      <c r="AI26"/>
    </row>
    <row r="27" spans="1:35" x14ac:dyDescent="0.2">
      <c r="B27" s="745"/>
      <c r="C27" s="745"/>
      <c r="D27" s="745"/>
      <c r="E27" s="745"/>
      <c r="F27" s="745"/>
      <c r="G27" s="745"/>
      <c r="H27" s="745"/>
      <c r="U27" s="490"/>
      <c r="V27" s="573"/>
    </row>
    <row r="28" spans="1:35" x14ac:dyDescent="0.2">
      <c r="B28" s="745"/>
      <c r="C28" s="745"/>
      <c r="D28" s="745"/>
      <c r="E28" s="745"/>
      <c r="F28" s="745"/>
      <c r="G28" s="745"/>
      <c r="H28" s="745"/>
      <c r="V28" s="573"/>
    </row>
    <row r="29" spans="1:35" x14ac:dyDescent="0.2">
      <c r="B29" s="745"/>
      <c r="C29" s="745"/>
      <c r="D29" s="745"/>
      <c r="E29" s="745"/>
      <c r="F29" s="745"/>
      <c r="G29" s="745"/>
      <c r="H29" s="745"/>
      <c r="W29" s="574">
        <f>AVERAGE(W8:W26)</f>
        <v>17.931578947368422</v>
      </c>
      <c r="X29" s="574">
        <f t="shared" ref="X29:AE29" si="2">AVERAGE(X8:X26)</f>
        <v>2.871428571428571</v>
      </c>
      <c r="Y29" s="574">
        <f t="shared" si="2"/>
        <v>39.521052631578939</v>
      </c>
      <c r="Z29" s="574">
        <f t="shared" si="2"/>
        <v>8.3368421052631572</v>
      </c>
      <c r="AA29" s="574"/>
      <c r="AB29" s="574"/>
      <c r="AC29" s="574"/>
      <c r="AD29" s="574">
        <f t="shared" si="2"/>
        <v>1.1600000000000001</v>
      </c>
      <c r="AE29" s="574">
        <f t="shared" si="2"/>
        <v>31.484210526315792</v>
      </c>
      <c r="AF29" s="574">
        <f>SUM(W29:AE29)</f>
        <v>101.30511278195488</v>
      </c>
    </row>
    <row r="30" spans="1:35" x14ac:dyDescent="0.2">
      <c r="B30" s="745"/>
      <c r="C30" s="745"/>
      <c r="D30" s="745"/>
      <c r="E30" s="745"/>
      <c r="F30" s="745"/>
      <c r="G30" s="745"/>
      <c r="H30" s="745"/>
      <c r="W30" s="575">
        <f t="shared" ref="W30:AE30" si="3">W29/$AF$29</f>
        <v>0.17700566590319725</v>
      </c>
      <c r="X30" s="575">
        <f t="shared" si="3"/>
        <v>2.8344359850908222E-2</v>
      </c>
      <c r="Y30" s="575">
        <f t="shared" si="3"/>
        <v>0.39011903295189543</v>
      </c>
      <c r="Z30" s="575">
        <f t="shared" si="3"/>
        <v>8.229438649564555E-2</v>
      </c>
      <c r="AA30" s="575">
        <f t="shared" si="3"/>
        <v>0</v>
      </c>
      <c r="AB30" s="575">
        <f t="shared" si="3"/>
        <v>0</v>
      </c>
      <c r="AC30" s="575">
        <f t="shared" si="3"/>
        <v>0</v>
      </c>
      <c r="AD30" s="575">
        <f t="shared" si="3"/>
        <v>1.145055731290422E-2</v>
      </c>
      <c r="AE30" s="575">
        <f t="shared" si="3"/>
        <v>0.31078599748544938</v>
      </c>
    </row>
    <row r="31" spans="1:35" ht="13.5" thickBot="1" x14ac:dyDescent="0.25"/>
    <row r="32" spans="1:35" ht="13.5" thickBot="1" x14ac:dyDescent="0.25">
      <c r="B32" s="576" t="s">
        <v>246</v>
      </c>
      <c r="AE32" s="475" t="s">
        <v>247</v>
      </c>
      <c r="AF32" s="577">
        <f>AVERAGE(AF12:AF26,AF8:AF10)</f>
        <v>0.42055555555555557</v>
      </c>
      <c r="AG32" s="578">
        <f>AVERAGE(AG12:AG26,AG8:AG10)</f>
        <v>0.676111111111111</v>
      </c>
      <c r="AH32" s="579">
        <f>AVERAGE(AH8:AH26)</f>
        <v>0.17526315789473687</v>
      </c>
    </row>
    <row r="34" spans="2:4" x14ac:dyDescent="0.2">
      <c r="B34" s="214" t="s">
        <v>248</v>
      </c>
    </row>
    <row r="36" spans="2:4" x14ac:dyDescent="0.2">
      <c r="B36" s="7" t="s">
        <v>249</v>
      </c>
    </row>
    <row r="37" spans="2:4" ht="13.5" thickBot="1" x14ac:dyDescent="0.25"/>
    <row r="38" spans="2:4" ht="14.25" x14ac:dyDescent="0.2">
      <c r="B38" s="580" t="s">
        <v>250</v>
      </c>
      <c r="C38" s="746" t="s">
        <v>251</v>
      </c>
      <c r="D38" s="747"/>
    </row>
    <row r="39" spans="2:4" x14ac:dyDescent="0.2">
      <c r="B39" s="581">
        <v>35</v>
      </c>
      <c r="C39" s="748">
        <f>LN(2)/B39</f>
        <v>1.980420515885558E-2</v>
      </c>
      <c r="D39" s="749"/>
    </row>
    <row r="40" spans="2:4" ht="27" x14ac:dyDescent="0.2">
      <c r="B40" s="582" t="s">
        <v>252</v>
      </c>
      <c r="C40" s="736" t="s">
        <v>253</v>
      </c>
      <c r="D40" s="737"/>
    </row>
    <row r="41" spans="2:4" ht="13.5" thickBot="1" x14ac:dyDescent="0.25">
      <c r="B41" s="583">
        <v>0.05</v>
      </c>
      <c r="C41" s="738">
        <f>LN(2)/B41</f>
        <v>13.862943611198904</v>
      </c>
      <c r="D41" s="739"/>
    </row>
    <row r="51" spans="2:8" ht="15" x14ac:dyDescent="0.25">
      <c r="B51"/>
      <c r="C51"/>
      <c r="D51"/>
      <c r="E51"/>
      <c r="F51"/>
      <c r="G51"/>
      <c r="H51"/>
    </row>
    <row r="52" spans="2:8" ht="15" x14ac:dyDescent="0.25">
      <c r="B52"/>
      <c r="C52"/>
      <c r="D52"/>
      <c r="E52"/>
      <c r="F52"/>
      <c r="G52"/>
      <c r="H52"/>
    </row>
    <row r="53" spans="2:8" ht="15" x14ac:dyDescent="0.25">
      <c r="B53"/>
      <c r="C53"/>
      <c r="D53"/>
      <c r="E53"/>
      <c r="F53"/>
      <c r="G53"/>
      <c r="H53"/>
    </row>
    <row r="54" spans="2:8" ht="15" x14ac:dyDescent="0.25">
      <c r="B54"/>
      <c r="C54"/>
      <c r="D54"/>
      <c r="E54"/>
      <c r="F54"/>
      <c r="G54"/>
      <c r="H54"/>
    </row>
    <row r="55" spans="2:8" ht="15" x14ac:dyDescent="0.25">
      <c r="B55"/>
      <c r="C55"/>
      <c r="D55"/>
      <c r="E55"/>
      <c r="F55"/>
      <c r="G55"/>
      <c r="H55"/>
    </row>
    <row r="56" spans="2:8" ht="15" x14ac:dyDescent="0.25">
      <c r="B56"/>
      <c r="C56"/>
      <c r="D56"/>
      <c r="E56"/>
      <c r="F56"/>
      <c r="G56"/>
      <c r="H56"/>
    </row>
    <row r="57" spans="2:8" ht="15" x14ac:dyDescent="0.25">
      <c r="B57"/>
      <c r="C57"/>
      <c r="D57"/>
      <c r="E57"/>
      <c r="F57"/>
      <c r="G57"/>
      <c r="H57"/>
    </row>
    <row r="58" spans="2:8" ht="15" x14ac:dyDescent="0.25">
      <c r="B58"/>
      <c r="C58"/>
      <c r="D58"/>
      <c r="E58"/>
      <c r="F58"/>
      <c r="G58"/>
      <c r="H58"/>
    </row>
    <row r="59" spans="2:8" ht="15" x14ac:dyDescent="0.25">
      <c r="B59"/>
      <c r="C59"/>
      <c r="D59"/>
      <c r="E59"/>
      <c r="F59"/>
      <c r="G59"/>
      <c r="H59"/>
    </row>
    <row r="60" spans="2:8" ht="15" x14ac:dyDescent="0.25">
      <c r="B60"/>
      <c r="C60"/>
      <c r="D60"/>
      <c r="E60"/>
      <c r="F60"/>
      <c r="G60"/>
      <c r="H60"/>
    </row>
    <row r="61" spans="2:8" ht="15" x14ac:dyDescent="0.25">
      <c r="B61"/>
      <c r="C61"/>
      <c r="D61"/>
      <c r="E61"/>
      <c r="F61"/>
      <c r="G61"/>
      <c r="H61"/>
    </row>
    <row r="62" spans="2:8" ht="15" x14ac:dyDescent="0.25">
      <c r="B62"/>
      <c r="C62"/>
      <c r="D62"/>
      <c r="E62"/>
      <c r="F62"/>
      <c r="G62"/>
      <c r="H62"/>
    </row>
    <row r="63" spans="2:8" ht="15" x14ac:dyDescent="0.25">
      <c r="B63"/>
      <c r="C63"/>
      <c r="D63"/>
      <c r="E63"/>
      <c r="F63"/>
      <c r="G63"/>
      <c r="H63"/>
    </row>
    <row r="64" spans="2:8" ht="15" x14ac:dyDescent="0.25">
      <c r="B64"/>
      <c r="C64"/>
      <c r="D64"/>
      <c r="E64"/>
      <c r="F64"/>
      <c r="G64"/>
      <c r="H64"/>
    </row>
  </sheetData>
  <mergeCells count="18">
    <mergeCell ref="AH5:AH7"/>
    <mergeCell ref="D6:E6"/>
    <mergeCell ref="F6:G6"/>
    <mergeCell ref="H6:I6"/>
    <mergeCell ref="J6:K6"/>
    <mergeCell ref="B2:H3"/>
    <mergeCell ref="D5:G5"/>
    <mergeCell ref="H5:K5"/>
    <mergeCell ref="AF5:AF7"/>
    <mergeCell ref="AG5:AG7"/>
    <mergeCell ref="C40:D40"/>
    <mergeCell ref="C41:D41"/>
    <mergeCell ref="W6:AE6"/>
    <mergeCell ref="B7:C7"/>
    <mergeCell ref="B8:B9"/>
    <mergeCell ref="B26:H30"/>
    <mergeCell ref="C38:D38"/>
    <mergeCell ref="C39:D39"/>
  </mergeCells>
  <pageMargins left="0.7" right="0.7" top="0.78740157499999996" bottom="0.78740157499999996"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2"/>
  <dimension ref="A2:O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42578125" style="281" customWidth="1"/>
    <col min="9" max="9" width="12"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42578125" style="44" customWidth="1"/>
    <col min="265" max="265" width="12"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42578125" style="44" customWidth="1"/>
    <col min="521" max="521" width="12"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42578125" style="44" customWidth="1"/>
    <col min="777" max="777" width="12"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42578125" style="44" customWidth="1"/>
    <col min="1033" max="1033" width="12"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42578125" style="44" customWidth="1"/>
    <col min="1289" max="1289" width="12"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42578125" style="44" customWidth="1"/>
    <col min="1545" max="1545" width="12"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42578125" style="44" customWidth="1"/>
    <col min="1801" max="1801" width="12"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42578125" style="44" customWidth="1"/>
    <col min="2057" max="2057" width="12"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42578125" style="44" customWidth="1"/>
    <col min="2313" max="2313" width="12"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42578125" style="44" customWidth="1"/>
    <col min="2569" max="2569" width="12"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42578125" style="44" customWidth="1"/>
    <col min="2825" max="2825" width="12"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42578125" style="44" customWidth="1"/>
    <col min="3081" max="3081" width="12"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42578125" style="44" customWidth="1"/>
    <col min="3337" max="3337" width="12"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42578125" style="44" customWidth="1"/>
    <col min="3593" max="3593" width="12"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42578125" style="44" customWidth="1"/>
    <col min="3849" max="3849" width="12"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42578125" style="44" customWidth="1"/>
    <col min="4105" max="4105" width="12"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42578125" style="44" customWidth="1"/>
    <col min="4361" max="4361" width="12"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42578125" style="44" customWidth="1"/>
    <col min="4617" max="4617" width="12"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42578125" style="44" customWidth="1"/>
    <col min="4873" max="4873" width="12"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42578125" style="44" customWidth="1"/>
    <col min="5129" max="5129" width="12"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42578125" style="44" customWidth="1"/>
    <col min="5385" max="5385" width="12"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42578125" style="44" customWidth="1"/>
    <col min="5641" max="5641" width="12"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42578125" style="44" customWidth="1"/>
    <col min="5897" max="5897" width="12"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42578125" style="44" customWidth="1"/>
    <col min="6153" max="6153" width="12"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42578125" style="44" customWidth="1"/>
    <col min="6409" max="6409" width="12"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42578125" style="44" customWidth="1"/>
    <col min="6665" max="6665" width="12"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42578125" style="44" customWidth="1"/>
    <col min="6921" max="6921" width="12"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42578125" style="44" customWidth="1"/>
    <col min="7177" max="7177" width="12"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42578125" style="44" customWidth="1"/>
    <col min="7433" max="7433" width="12"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42578125" style="44" customWidth="1"/>
    <col min="7689" max="7689" width="12"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42578125" style="44" customWidth="1"/>
    <col min="7945" max="7945" width="12"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42578125" style="44" customWidth="1"/>
    <col min="8201" max="8201" width="12"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42578125" style="44" customWidth="1"/>
    <col min="8457" max="8457" width="12"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42578125" style="44" customWidth="1"/>
    <col min="8713" max="8713" width="12"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42578125" style="44" customWidth="1"/>
    <col min="8969" max="8969" width="12"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42578125" style="44" customWidth="1"/>
    <col min="9225" max="9225" width="12"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42578125" style="44" customWidth="1"/>
    <col min="9481" max="9481" width="12"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42578125" style="44" customWidth="1"/>
    <col min="9737" max="9737" width="12"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42578125" style="44" customWidth="1"/>
    <col min="9993" max="9993" width="12"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42578125" style="44" customWidth="1"/>
    <col min="10249" max="10249" width="12"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42578125" style="44" customWidth="1"/>
    <col min="10505" max="10505" width="12"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42578125" style="44" customWidth="1"/>
    <col min="10761" max="10761" width="12"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42578125" style="44" customWidth="1"/>
    <col min="11017" max="11017" width="12"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42578125" style="44" customWidth="1"/>
    <col min="11273" max="11273" width="12"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42578125" style="44" customWidth="1"/>
    <col min="11529" max="11529" width="12"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42578125" style="44" customWidth="1"/>
    <col min="11785" max="11785" width="12"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42578125" style="44" customWidth="1"/>
    <col min="12041" max="12041" width="12"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42578125" style="44" customWidth="1"/>
    <col min="12297" max="12297" width="12"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42578125" style="44" customWidth="1"/>
    <col min="12553" max="12553" width="12"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42578125" style="44" customWidth="1"/>
    <col min="12809" max="12809" width="12"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42578125" style="44" customWidth="1"/>
    <col min="13065" max="13065" width="12"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42578125" style="44" customWidth="1"/>
    <col min="13321" max="13321" width="12"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42578125" style="44" customWidth="1"/>
    <col min="13577" max="13577" width="12"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42578125" style="44" customWidth="1"/>
    <col min="13833" max="13833" width="12"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42578125" style="44" customWidth="1"/>
    <col min="14089" max="14089" width="12"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42578125" style="44" customWidth="1"/>
    <col min="14345" max="14345" width="12"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42578125" style="44" customWidth="1"/>
    <col min="14601" max="14601" width="12"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42578125" style="44" customWidth="1"/>
    <col min="14857" max="14857" width="12"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42578125" style="44" customWidth="1"/>
    <col min="15113" max="15113" width="12"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42578125" style="44" customWidth="1"/>
    <col min="15369" max="15369" width="12"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42578125" style="44" customWidth="1"/>
    <col min="15625" max="15625" width="12"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42578125" style="44" customWidth="1"/>
    <col min="15881" max="15881" width="12"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42578125" style="44" customWidth="1"/>
    <col min="16137" max="16137" width="12" style="44" customWidth="1"/>
    <col min="16138" max="16138" width="10.28515625" style="44" customWidth="1"/>
    <col min="16139" max="16384" width="9.140625" style="44"/>
  </cols>
  <sheetData>
    <row r="2" spans="1:12" ht="15.75" x14ac:dyDescent="0.25">
      <c r="B2" s="584" t="s">
        <v>254</v>
      </c>
      <c r="C2" s="585"/>
      <c r="D2" s="586"/>
      <c r="E2" s="587"/>
      <c r="F2" s="587"/>
      <c r="G2" s="587"/>
      <c r="H2" s="587"/>
      <c r="I2" s="587"/>
      <c r="J2" s="587"/>
    </row>
    <row r="3" spans="1:12" ht="15.75" x14ac:dyDescent="0.25">
      <c r="B3" s="588" t="str">
        <f>IF(Select2=2,"This sheet applies only to the waste compositon option and can be deleted when the bulk waste option has been chosen","")</f>
        <v/>
      </c>
      <c r="C3" s="585"/>
      <c r="D3" s="586"/>
      <c r="E3" s="587"/>
      <c r="F3" s="587"/>
      <c r="G3" s="587"/>
      <c r="H3" s="587"/>
      <c r="I3" s="587"/>
      <c r="J3" s="587"/>
    </row>
    <row r="4" spans="1:12" ht="16.5" thickBot="1" x14ac:dyDescent="0.3">
      <c r="B4" s="589"/>
      <c r="C4" s="590"/>
      <c r="D4" s="591"/>
      <c r="E4" s="592"/>
      <c r="F4" s="592"/>
      <c r="G4" s="592"/>
      <c r="H4" s="592"/>
      <c r="I4" s="592"/>
      <c r="J4" s="592"/>
    </row>
    <row r="5" spans="1:12" ht="30.75" thickBot="1" x14ac:dyDescent="0.3">
      <c r="B5" s="593"/>
      <c r="C5" s="594"/>
      <c r="D5" s="595"/>
      <c r="E5" s="596"/>
      <c r="F5" s="596"/>
      <c r="G5" s="596"/>
      <c r="H5" s="596"/>
      <c r="I5" s="597" t="s">
        <v>255</v>
      </c>
      <c r="J5" s="596"/>
    </row>
    <row r="6" spans="1:12" x14ac:dyDescent="0.25">
      <c r="B6" s="593"/>
      <c r="C6" s="594"/>
      <c r="D6" s="598" t="s">
        <v>256</v>
      </c>
      <c r="E6" s="599"/>
      <c r="F6" s="599"/>
      <c r="G6" s="600"/>
      <c r="H6" s="601" t="s">
        <v>256</v>
      </c>
      <c r="I6" s="602">
        <f>Parameters!M13</f>
        <v>0.15</v>
      </c>
      <c r="J6" s="596"/>
    </row>
    <row r="7" spans="1:12" ht="15.75" thickBot="1" x14ac:dyDescent="0.3">
      <c r="B7" s="593"/>
      <c r="C7" s="594"/>
      <c r="D7" s="603" t="s">
        <v>257</v>
      </c>
      <c r="E7" s="604"/>
      <c r="F7" s="604"/>
      <c r="G7" s="605"/>
      <c r="H7" s="606" t="s">
        <v>257</v>
      </c>
      <c r="I7" s="607">
        <f>DOCF</f>
        <v>0.5</v>
      </c>
      <c r="J7" s="596"/>
    </row>
    <row r="8" spans="1:12" x14ac:dyDescent="0.25">
      <c r="D8" s="598" t="s">
        <v>258</v>
      </c>
      <c r="E8" s="599"/>
      <c r="F8" s="599"/>
      <c r="G8" s="600"/>
      <c r="H8" s="601" t="s">
        <v>259</v>
      </c>
      <c r="I8" s="608">
        <f>Parameters!M27</f>
        <v>0.185</v>
      </c>
      <c r="J8" s="609"/>
    </row>
    <row r="9" spans="1:12" ht="15.75" x14ac:dyDescent="0.3">
      <c r="D9" s="610" t="s">
        <v>260</v>
      </c>
      <c r="E9" s="611"/>
      <c r="F9" s="611"/>
      <c r="G9" s="612"/>
      <c r="H9" s="613" t="s">
        <v>261</v>
      </c>
      <c r="I9" s="614">
        <f>LN(2)/$I$8</f>
        <v>3.7467415165402449</v>
      </c>
      <c r="J9" s="609"/>
    </row>
    <row r="10" spans="1:12" x14ac:dyDescent="0.25">
      <c r="D10" s="615" t="s">
        <v>262</v>
      </c>
      <c r="E10" s="616"/>
      <c r="F10" s="616"/>
      <c r="G10" s="617"/>
      <c r="H10" s="618" t="s">
        <v>263</v>
      </c>
      <c r="I10" s="619">
        <f>EXP(-$I$8)</f>
        <v>0.83110428385212565</v>
      </c>
      <c r="J10" s="609"/>
    </row>
    <row r="11" spans="1:12" x14ac:dyDescent="0.25">
      <c r="D11" s="615" t="s">
        <v>264</v>
      </c>
      <c r="E11" s="616"/>
      <c r="F11" s="616"/>
      <c r="G11" s="617"/>
      <c r="H11" s="618" t="s">
        <v>265</v>
      </c>
      <c r="I11" s="619">
        <v>13</v>
      </c>
      <c r="J11" s="609"/>
    </row>
    <row r="12" spans="1:12" ht="15.75" thickBot="1" x14ac:dyDescent="0.3">
      <c r="D12" s="620" t="s">
        <v>266</v>
      </c>
      <c r="E12" s="621"/>
      <c r="F12" s="621"/>
      <c r="G12" s="622"/>
      <c r="H12" s="623" t="s">
        <v>267</v>
      </c>
      <c r="I12" s="624">
        <f>EXP(-$I$8*((13-I11)/12))</f>
        <v>1</v>
      </c>
      <c r="J12" s="609"/>
    </row>
    <row r="13" spans="1:12" ht="15.75" thickBot="1" x14ac:dyDescent="0.3">
      <c r="C13" s="625"/>
      <c r="D13" s="626" t="s">
        <v>268</v>
      </c>
      <c r="E13" s="627"/>
      <c r="F13" s="627"/>
      <c r="G13" s="628"/>
      <c r="H13" s="629" t="s">
        <v>123</v>
      </c>
      <c r="I13" s="630">
        <f>CH4_fraction</f>
        <v>0.55000000000000004</v>
      </c>
      <c r="J13" s="609"/>
    </row>
    <row r="14" spans="1:12" ht="15.75" thickBot="1" x14ac:dyDescent="0.3">
      <c r="E14" s="609"/>
      <c r="F14" s="609"/>
      <c r="G14" s="609"/>
      <c r="H14" s="609"/>
      <c r="I14" s="609"/>
      <c r="J14" s="609"/>
    </row>
    <row r="15" spans="1:12" ht="75" x14ac:dyDescent="0.25">
      <c r="B15" s="632" t="s">
        <v>66</v>
      </c>
      <c r="C15" s="633" t="s">
        <v>269</v>
      </c>
      <c r="D15" s="634" t="s">
        <v>60</v>
      </c>
      <c r="E15" s="635" t="s">
        <v>270</v>
      </c>
      <c r="F15" s="635" t="s">
        <v>271</v>
      </c>
      <c r="G15" s="635" t="s">
        <v>272</v>
      </c>
      <c r="H15" s="635" t="s">
        <v>273</v>
      </c>
      <c r="I15" s="635" t="s">
        <v>274</v>
      </c>
      <c r="J15" s="636" t="s">
        <v>275</v>
      </c>
      <c r="L15" s="434"/>
    </row>
    <row r="16" spans="1:12" ht="23.25" x14ac:dyDescent="0.25">
      <c r="A16" s="637"/>
      <c r="B16" s="638"/>
      <c r="C16" s="639" t="s">
        <v>276</v>
      </c>
      <c r="D16" s="640" t="s">
        <v>60</v>
      </c>
      <c r="E16" s="641" t="s">
        <v>277</v>
      </c>
      <c r="F16" s="641" t="s">
        <v>278</v>
      </c>
      <c r="G16" s="641" t="s">
        <v>279</v>
      </c>
      <c r="H16" s="641" t="s">
        <v>280</v>
      </c>
      <c r="I16" s="641" t="s">
        <v>281</v>
      </c>
      <c r="J16" s="642" t="s">
        <v>282</v>
      </c>
    </row>
    <row r="17" spans="2:15" ht="30.75" thickBot="1" x14ac:dyDescent="0.3">
      <c r="B17" s="262"/>
      <c r="C17" s="643" t="s">
        <v>93</v>
      </c>
      <c r="D17" s="644" t="s">
        <v>283</v>
      </c>
      <c r="E17" s="645" t="s">
        <v>93</v>
      </c>
      <c r="F17" s="645" t="s">
        <v>93</v>
      </c>
      <c r="G17" s="645" t="s">
        <v>93</v>
      </c>
      <c r="H17" s="645" t="s">
        <v>93</v>
      </c>
      <c r="I17" s="645" t="s">
        <v>93</v>
      </c>
      <c r="J17" s="646" t="s">
        <v>93</v>
      </c>
    </row>
    <row r="18" spans="2:15" ht="15.75" thickBot="1" x14ac:dyDescent="0.3">
      <c r="B18" s="647"/>
      <c r="C18" s="648"/>
      <c r="D18" s="649"/>
      <c r="E18" s="650"/>
      <c r="F18" s="651"/>
      <c r="G18" s="651"/>
      <c r="H18" s="651"/>
      <c r="I18" s="651"/>
      <c r="J18" s="652"/>
    </row>
    <row r="19" spans="2:15" x14ac:dyDescent="0.25">
      <c r="B19" s="653">
        <f>Amnt_Deposited!B11</f>
        <v>1950</v>
      </c>
      <c r="C19" s="654">
        <f>Amnt_Deposited!C11</f>
        <v>1029.42</v>
      </c>
      <c r="D19" s="655">
        <f>MCF!R18</f>
        <v>0.6</v>
      </c>
      <c r="E19" s="656">
        <f>C19*$I$6*DOCF*D19</f>
        <v>46.323900000000002</v>
      </c>
      <c r="F19" s="657">
        <f t="shared" ref="F19:F82" si="0">E19*$I$12</f>
        <v>46.323900000000002</v>
      </c>
      <c r="G19" s="657">
        <f>E19*(1-$I$12)</f>
        <v>0</v>
      </c>
      <c r="H19" s="657">
        <f>F19+H18*$I$10</f>
        <v>46.323900000000002</v>
      </c>
      <c r="I19" s="657">
        <f>H18*(1-$I$10)+G19</f>
        <v>0</v>
      </c>
      <c r="J19" s="658">
        <f>I19*CH4_fraction*conv</f>
        <v>0</v>
      </c>
    </row>
    <row r="20" spans="2:15" x14ac:dyDescent="0.25">
      <c r="B20" s="659">
        <f>Amnt_Deposited!B12</f>
        <v>1951</v>
      </c>
      <c r="C20" s="660">
        <f>Amnt_Deposited!C12</f>
        <v>1029.42</v>
      </c>
      <c r="D20" s="661">
        <f>MCF!R19</f>
        <v>0.6</v>
      </c>
      <c r="E20" s="662">
        <f t="shared" ref="E20:E83" si="1">C20*$I$6*DOCF*D20</f>
        <v>46.323900000000002</v>
      </c>
      <c r="F20" s="662">
        <f t="shared" si="0"/>
        <v>46.323900000000002</v>
      </c>
      <c r="G20" s="662">
        <f t="shared" ref="G20:G83" si="2">E20*(1-$I$12)</f>
        <v>0</v>
      </c>
      <c r="H20" s="662">
        <f t="shared" ref="H20:H83" si="3">F20+H19*$I$10</f>
        <v>84.823891734737487</v>
      </c>
      <c r="I20" s="662">
        <f t="shared" ref="I20:I83" si="4">H19*(1-$I$10)+G20</f>
        <v>7.8239082652625171</v>
      </c>
      <c r="J20" s="663">
        <f>I20*CH4_fraction*conv</f>
        <v>5.7375327278591799</v>
      </c>
      <c r="L20" s="356"/>
    </row>
    <row r="21" spans="2:15" x14ac:dyDescent="0.25">
      <c r="B21" s="659">
        <f>Amnt_Deposited!B13</f>
        <v>1952</v>
      </c>
      <c r="C21" s="660">
        <f>Amnt_Deposited!C13</f>
        <v>1029.42</v>
      </c>
      <c r="D21" s="661">
        <f>MCF!R20</f>
        <v>0.6</v>
      </c>
      <c r="E21" s="662">
        <f t="shared" si="1"/>
        <v>46.323900000000002</v>
      </c>
      <c r="F21" s="662">
        <f t="shared" si="0"/>
        <v>46.323900000000002</v>
      </c>
      <c r="G21" s="662">
        <f t="shared" si="2"/>
        <v>0</v>
      </c>
      <c r="H21" s="662">
        <f t="shared" si="3"/>
        <v>116.82139979374924</v>
      </c>
      <c r="I21" s="662">
        <f t="shared" si="4"/>
        <v>14.326391940988248</v>
      </c>
      <c r="J21" s="663">
        <f t="shared" ref="J21:J84" si="5">I21*CH4_fraction*conv</f>
        <v>10.506020756724716</v>
      </c>
    </row>
    <row r="22" spans="2:15" x14ac:dyDescent="0.25">
      <c r="B22" s="659">
        <f>Amnt_Deposited!B14</f>
        <v>1953</v>
      </c>
      <c r="C22" s="660">
        <f>Amnt_Deposited!C14</f>
        <v>1029.42</v>
      </c>
      <c r="D22" s="661">
        <f>MCF!R21</f>
        <v>0.6</v>
      </c>
      <c r="E22" s="662">
        <f t="shared" si="1"/>
        <v>46.323900000000002</v>
      </c>
      <c r="F22" s="662">
        <f t="shared" si="0"/>
        <v>46.323900000000002</v>
      </c>
      <c r="G22" s="662">
        <f t="shared" si="2"/>
        <v>0</v>
      </c>
      <c r="H22" s="662">
        <f t="shared" si="3"/>
        <v>143.41466581418683</v>
      </c>
      <c r="I22" s="662">
        <f t="shared" si="4"/>
        <v>19.73063397956242</v>
      </c>
      <c r="J22" s="663">
        <f t="shared" si="5"/>
        <v>14.469131585012441</v>
      </c>
      <c r="L22" s="434"/>
      <c r="M22" s="434"/>
      <c r="N22" s="434"/>
      <c r="O22" s="434"/>
    </row>
    <row r="23" spans="2:15" x14ac:dyDescent="0.25">
      <c r="B23" s="659">
        <f>Amnt_Deposited!B15</f>
        <v>1954</v>
      </c>
      <c r="C23" s="660">
        <f>Amnt_Deposited!C15</f>
        <v>1029.42</v>
      </c>
      <c r="D23" s="661">
        <f>MCF!R22</f>
        <v>0.6</v>
      </c>
      <c r="E23" s="662">
        <f t="shared" si="1"/>
        <v>46.323900000000002</v>
      </c>
      <c r="F23" s="662">
        <f t="shared" si="0"/>
        <v>46.323900000000002</v>
      </c>
      <c r="G23" s="662">
        <f t="shared" si="2"/>
        <v>0</v>
      </c>
      <c r="H23" s="662">
        <f t="shared" si="3"/>
        <v>165.51644312539167</v>
      </c>
      <c r="I23" s="662">
        <f t="shared" si="4"/>
        <v>24.22212268879516</v>
      </c>
      <c r="J23" s="663">
        <f t="shared" si="5"/>
        <v>17.762889971783117</v>
      </c>
      <c r="L23" s="434"/>
      <c r="M23" s="434"/>
      <c r="N23" s="434"/>
      <c r="O23" s="434"/>
    </row>
    <row r="24" spans="2:15" x14ac:dyDescent="0.25">
      <c r="B24" s="659">
        <f>Amnt_Deposited!B16</f>
        <v>1955</v>
      </c>
      <c r="C24" s="660">
        <f>Amnt_Deposited!C16</f>
        <v>1029.42</v>
      </c>
      <c r="D24" s="661">
        <f>MCF!R23</f>
        <v>0.6</v>
      </c>
      <c r="E24" s="662">
        <f t="shared" si="1"/>
        <v>46.323900000000002</v>
      </c>
      <c r="F24" s="662">
        <f t="shared" si="0"/>
        <v>46.323900000000002</v>
      </c>
      <c r="G24" s="662">
        <f t="shared" si="2"/>
        <v>0</v>
      </c>
      <c r="H24" s="662">
        <f t="shared" si="3"/>
        <v>183.88532492947974</v>
      </c>
      <c r="I24" s="662">
        <f t="shared" si="4"/>
        <v>27.95501819591194</v>
      </c>
      <c r="J24" s="663">
        <f t="shared" si="5"/>
        <v>20.500346677002089</v>
      </c>
      <c r="L24" s="434"/>
      <c r="M24" s="434"/>
      <c r="N24" s="434"/>
      <c r="O24" s="434"/>
    </row>
    <row r="25" spans="2:15" x14ac:dyDescent="0.25">
      <c r="B25" s="659">
        <f>Amnt_Deposited!B17</f>
        <v>1956</v>
      </c>
      <c r="C25" s="660">
        <f>Amnt_Deposited!C17</f>
        <v>1029.42</v>
      </c>
      <c r="D25" s="661">
        <f>MCF!R24</f>
        <v>0.6</v>
      </c>
      <c r="E25" s="662">
        <f t="shared" si="1"/>
        <v>46.323900000000002</v>
      </c>
      <c r="F25" s="662">
        <f t="shared" si="0"/>
        <v>46.323900000000002</v>
      </c>
      <c r="G25" s="662">
        <f t="shared" si="2"/>
        <v>0</v>
      </c>
      <c r="H25" s="662">
        <f t="shared" si="3"/>
        <v>199.15178128643069</v>
      </c>
      <c r="I25" s="662">
        <f t="shared" si="4"/>
        <v>31.057443643049051</v>
      </c>
      <c r="J25" s="663">
        <f t="shared" si="5"/>
        <v>22.775458671569304</v>
      </c>
      <c r="L25" s="434"/>
      <c r="M25" s="434"/>
      <c r="N25" s="434"/>
      <c r="O25" s="434"/>
    </row>
    <row r="26" spans="2:15" x14ac:dyDescent="0.25">
      <c r="B26" s="659">
        <f>Amnt_Deposited!B18</f>
        <v>1957</v>
      </c>
      <c r="C26" s="660">
        <f>Amnt_Deposited!C18</f>
        <v>1029.42</v>
      </c>
      <c r="D26" s="661">
        <f>MCF!R25</f>
        <v>0.6</v>
      </c>
      <c r="E26" s="662">
        <f t="shared" si="1"/>
        <v>46.323900000000002</v>
      </c>
      <c r="F26" s="662">
        <f t="shared" si="0"/>
        <v>46.323900000000002</v>
      </c>
      <c r="G26" s="662">
        <f t="shared" si="2"/>
        <v>0</v>
      </c>
      <c r="H26" s="662">
        <f t="shared" si="3"/>
        <v>211.83979856393415</v>
      </c>
      <c r="I26" s="662">
        <f t="shared" si="4"/>
        <v>33.635882722496554</v>
      </c>
      <c r="J26" s="663">
        <f t="shared" si="5"/>
        <v>24.666313996497472</v>
      </c>
      <c r="L26" s="434"/>
      <c r="M26" s="434"/>
      <c r="N26" s="434"/>
      <c r="O26" s="434"/>
    </row>
    <row r="27" spans="2:15" x14ac:dyDescent="0.25">
      <c r="B27" s="659">
        <f>Amnt_Deposited!B19</f>
        <v>1958</v>
      </c>
      <c r="C27" s="660">
        <f>Amnt_Deposited!C19</f>
        <v>1029.42</v>
      </c>
      <c r="D27" s="661">
        <f>MCF!R26</f>
        <v>0.6</v>
      </c>
      <c r="E27" s="662">
        <f t="shared" si="1"/>
        <v>46.323900000000002</v>
      </c>
      <c r="F27" s="662">
        <f t="shared" si="0"/>
        <v>46.323900000000002</v>
      </c>
      <c r="G27" s="662">
        <f t="shared" si="2"/>
        <v>0</v>
      </c>
      <c r="H27" s="662">
        <f t="shared" si="3"/>
        <v>222.38486407685707</v>
      </c>
      <c r="I27" s="662">
        <f t="shared" si="4"/>
        <v>35.778834487077106</v>
      </c>
      <c r="J27" s="663">
        <f t="shared" si="5"/>
        <v>26.23781195718988</v>
      </c>
      <c r="L27" s="434"/>
      <c r="M27" s="434"/>
      <c r="N27" s="434"/>
      <c r="O27" s="434"/>
    </row>
    <row r="28" spans="2:15" x14ac:dyDescent="0.25">
      <c r="B28" s="659">
        <f>Amnt_Deposited!B20</f>
        <v>1959</v>
      </c>
      <c r="C28" s="660">
        <f>Amnt_Deposited!C20</f>
        <v>1029.42</v>
      </c>
      <c r="D28" s="661">
        <f>MCF!R27</f>
        <v>0.6</v>
      </c>
      <c r="E28" s="662">
        <f t="shared" si="1"/>
        <v>46.323900000000002</v>
      </c>
      <c r="F28" s="662">
        <f t="shared" si="0"/>
        <v>46.323900000000002</v>
      </c>
      <c r="G28" s="662">
        <f t="shared" si="2"/>
        <v>0</v>
      </c>
      <c r="H28" s="662">
        <f t="shared" si="3"/>
        <v>231.14891319814862</v>
      </c>
      <c r="I28" s="662">
        <f t="shared" si="4"/>
        <v>37.559850878708474</v>
      </c>
      <c r="J28" s="663">
        <f t="shared" si="5"/>
        <v>27.543890644386213</v>
      </c>
      <c r="L28" s="434"/>
      <c r="M28" s="434"/>
      <c r="N28" s="434"/>
      <c r="O28" s="434"/>
    </row>
    <row r="29" spans="2:15" x14ac:dyDescent="0.25">
      <c r="B29" s="659">
        <f>Amnt_Deposited!B21</f>
        <v>1960</v>
      </c>
      <c r="C29" s="660">
        <f>Amnt_Deposited!C21</f>
        <v>1029.42</v>
      </c>
      <c r="D29" s="661">
        <f>MCF!R28</f>
        <v>0.6</v>
      </c>
      <c r="E29" s="662">
        <f t="shared" si="1"/>
        <v>46.323900000000002</v>
      </c>
      <c r="F29" s="662">
        <f t="shared" si="0"/>
        <v>46.323900000000002</v>
      </c>
      <c r="G29" s="662">
        <f t="shared" si="2"/>
        <v>0</v>
      </c>
      <c r="H29" s="662">
        <f t="shared" si="3"/>
        <v>238.43275196674446</v>
      </c>
      <c r="I29" s="662">
        <f t="shared" si="4"/>
        <v>39.04006123140416</v>
      </c>
      <c r="J29" s="663">
        <f t="shared" si="5"/>
        <v>28.629378236363053</v>
      </c>
    </row>
    <row r="30" spans="2:15" x14ac:dyDescent="0.25">
      <c r="B30" s="659">
        <f>Amnt_Deposited!B22</f>
        <v>1961</v>
      </c>
      <c r="C30" s="660">
        <f>Amnt_Deposited!C22</f>
        <v>1029.42</v>
      </c>
      <c r="D30" s="661">
        <f>MCF!R29</f>
        <v>0.6</v>
      </c>
      <c r="E30" s="662">
        <f t="shared" si="1"/>
        <v>46.323900000000002</v>
      </c>
      <c r="F30" s="662">
        <f t="shared" si="0"/>
        <v>46.323900000000002</v>
      </c>
      <c r="G30" s="662">
        <f t="shared" si="2"/>
        <v>0</v>
      </c>
      <c r="H30" s="662">
        <f t="shared" si="3"/>
        <v>244.48638157021267</v>
      </c>
      <c r="I30" s="662">
        <f t="shared" si="4"/>
        <v>40.270270396531807</v>
      </c>
      <c r="J30" s="663">
        <f t="shared" si="5"/>
        <v>29.531531624123325</v>
      </c>
    </row>
    <row r="31" spans="2:15" x14ac:dyDescent="0.25">
      <c r="B31" s="659">
        <f>Amnt_Deposited!B23</f>
        <v>1962</v>
      </c>
      <c r="C31" s="660">
        <f>Amnt_Deposited!C23</f>
        <v>1029.42</v>
      </c>
      <c r="D31" s="661">
        <f>MCF!R30</f>
        <v>0.6</v>
      </c>
      <c r="E31" s="662">
        <f t="shared" si="1"/>
        <v>46.323900000000002</v>
      </c>
      <c r="F31" s="662">
        <f t="shared" si="0"/>
        <v>46.323900000000002</v>
      </c>
      <c r="G31" s="662">
        <f t="shared" si="2"/>
        <v>0</v>
      </c>
      <c r="H31" s="662">
        <f t="shared" si="3"/>
        <v>249.51757906650914</v>
      </c>
      <c r="I31" s="662">
        <f t="shared" si="4"/>
        <v>41.292702503703538</v>
      </c>
      <c r="J31" s="663">
        <f t="shared" si="5"/>
        <v>30.281315169382598</v>
      </c>
      <c r="N31" s="434"/>
    </row>
    <row r="32" spans="2:15" x14ac:dyDescent="0.25">
      <c r="B32" s="659">
        <f>Amnt_Deposited!B24</f>
        <v>1963</v>
      </c>
      <c r="C32" s="660">
        <f>Amnt_Deposited!C24</f>
        <v>1029.42</v>
      </c>
      <c r="D32" s="661">
        <f>MCF!R31</f>
        <v>0.6</v>
      </c>
      <c r="E32" s="662">
        <f t="shared" si="1"/>
        <v>46.323900000000002</v>
      </c>
      <c r="F32" s="662">
        <f t="shared" si="0"/>
        <v>46.323900000000002</v>
      </c>
      <c r="G32" s="662">
        <f t="shared" si="2"/>
        <v>0</v>
      </c>
      <c r="H32" s="662">
        <f t="shared" si="3"/>
        <v>253.69902885858724</v>
      </c>
      <c r="I32" s="662">
        <f t="shared" si="4"/>
        <v>42.142450207921925</v>
      </c>
      <c r="J32" s="663">
        <f t="shared" si="5"/>
        <v>30.904463485809416</v>
      </c>
    </row>
    <row r="33" spans="2:10" x14ac:dyDescent="0.25">
      <c r="B33" s="659">
        <f>Amnt_Deposited!B25</f>
        <v>1964</v>
      </c>
      <c r="C33" s="660">
        <f>Amnt_Deposited!C25</f>
        <v>1029.42</v>
      </c>
      <c r="D33" s="661">
        <f>MCF!R32</f>
        <v>0.6</v>
      </c>
      <c r="E33" s="662">
        <f t="shared" si="1"/>
        <v>46.323900000000002</v>
      </c>
      <c r="F33" s="662">
        <f t="shared" si="0"/>
        <v>46.323900000000002</v>
      </c>
      <c r="G33" s="662">
        <f t="shared" si="2"/>
        <v>0</v>
      </c>
      <c r="H33" s="662">
        <f t="shared" si="3"/>
        <v>257.17424969349588</v>
      </c>
      <c r="I33" s="662">
        <f t="shared" si="4"/>
        <v>42.848679165091333</v>
      </c>
      <c r="J33" s="663">
        <f t="shared" si="5"/>
        <v>31.422364721066977</v>
      </c>
    </row>
    <row r="34" spans="2:10" x14ac:dyDescent="0.25">
      <c r="B34" s="659">
        <f>Amnt_Deposited!B26</f>
        <v>1965</v>
      </c>
      <c r="C34" s="660">
        <f>Amnt_Deposited!C26</f>
        <v>1029.42</v>
      </c>
      <c r="D34" s="661">
        <f>MCF!R33</f>
        <v>0.6</v>
      </c>
      <c r="E34" s="662">
        <f t="shared" si="1"/>
        <v>46.323900000000002</v>
      </c>
      <c r="F34" s="662">
        <f t="shared" si="0"/>
        <v>46.323900000000002</v>
      </c>
      <c r="G34" s="662">
        <f t="shared" si="2"/>
        <v>0</v>
      </c>
      <c r="H34" s="662">
        <f t="shared" si="3"/>
        <v>260.06252061672063</v>
      </c>
      <c r="I34" s="662">
        <f t="shared" si="4"/>
        <v>43.435629076775243</v>
      </c>
      <c r="J34" s="663">
        <f t="shared" si="5"/>
        <v>31.852794656301846</v>
      </c>
    </row>
    <row r="35" spans="2:10" x14ac:dyDescent="0.25">
      <c r="B35" s="659">
        <f>Amnt_Deposited!B27</f>
        <v>1966</v>
      </c>
      <c r="C35" s="660">
        <f>Amnt_Deposited!C27</f>
        <v>1029.42</v>
      </c>
      <c r="D35" s="661">
        <f>MCF!R34</f>
        <v>0.6</v>
      </c>
      <c r="E35" s="662">
        <f t="shared" si="1"/>
        <v>46.323900000000002</v>
      </c>
      <c r="F35" s="662">
        <f t="shared" si="0"/>
        <v>46.323900000000002</v>
      </c>
      <c r="G35" s="662">
        <f t="shared" si="2"/>
        <v>0</v>
      </c>
      <c r="H35" s="662">
        <f t="shared" si="3"/>
        <v>262.46297495393827</v>
      </c>
      <c r="I35" s="662">
        <f t="shared" si="4"/>
        <v>43.92344566278237</v>
      </c>
      <c r="J35" s="663">
        <f t="shared" si="5"/>
        <v>32.21052681937374</v>
      </c>
    </row>
    <row r="36" spans="2:10" x14ac:dyDescent="0.25">
      <c r="B36" s="659">
        <f>Amnt_Deposited!B28</f>
        <v>1967</v>
      </c>
      <c r="C36" s="660">
        <f>Amnt_Deposited!C28</f>
        <v>1029.42</v>
      </c>
      <c r="D36" s="661">
        <f>MCF!R35</f>
        <v>0.6</v>
      </c>
      <c r="E36" s="662">
        <f t="shared" si="1"/>
        <v>46.323900000000002</v>
      </c>
      <c r="F36" s="662">
        <f t="shared" si="0"/>
        <v>46.323900000000002</v>
      </c>
      <c r="G36" s="662">
        <f t="shared" si="2"/>
        <v>0</v>
      </c>
      <c r="H36" s="662">
        <f t="shared" si="3"/>
        <v>264.45800283679125</v>
      </c>
      <c r="I36" s="662">
        <f t="shared" si="4"/>
        <v>44.328872117147014</v>
      </c>
      <c r="J36" s="663">
        <f t="shared" si="5"/>
        <v>32.507839552574481</v>
      </c>
    </row>
    <row r="37" spans="2:10" x14ac:dyDescent="0.25">
      <c r="B37" s="659">
        <f>Amnt_Deposited!B29</f>
        <v>1968</v>
      </c>
      <c r="C37" s="660">
        <f>Amnt_Deposited!C29</f>
        <v>1029.42</v>
      </c>
      <c r="D37" s="661">
        <f>MCF!R36</f>
        <v>0.6</v>
      </c>
      <c r="E37" s="662">
        <f t="shared" si="1"/>
        <v>46.323900000000002</v>
      </c>
      <c r="F37" s="662">
        <f t="shared" si="0"/>
        <v>46.323900000000002</v>
      </c>
      <c r="G37" s="662">
        <f t="shared" si="2"/>
        <v>0</v>
      </c>
      <c r="H37" s="662">
        <f t="shared" si="3"/>
        <v>266.11607905663482</v>
      </c>
      <c r="I37" s="662">
        <f t="shared" si="4"/>
        <v>44.665823780156444</v>
      </c>
      <c r="J37" s="663">
        <f t="shared" si="5"/>
        <v>32.754937438781397</v>
      </c>
    </row>
    <row r="38" spans="2:10" x14ac:dyDescent="0.25">
      <c r="B38" s="659">
        <f>Amnt_Deposited!B30</f>
        <v>1969</v>
      </c>
      <c r="C38" s="660">
        <f>Amnt_Deposited!C30</f>
        <v>1029.42</v>
      </c>
      <c r="D38" s="661">
        <f>MCF!R37</f>
        <v>0.6</v>
      </c>
      <c r="E38" s="662">
        <f t="shared" si="1"/>
        <v>46.323900000000002</v>
      </c>
      <c r="F38" s="662">
        <f t="shared" si="0"/>
        <v>46.323900000000002</v>
      </c>
      <c r="G38" s="662">
        <f t="shared" si="2"/>
        <v>0</v>
      </c>
      <c r="H38" s="662">
        <f t="shared" si="3"/>
        <v>267.4941133059001</v>
      </c>
      <c r="I38" s="662">
        <f t="shared" si="4"/>
        <v>44.945865750734683</v>
      </c>
      <c r="J38" s="663">
        <f t="shared" si="5"/>
        <v>32.960301550538766</v>
      </c>
    </row>
    <row r="39" spans="2:10" x14ac:dyDescent="0.25">
      <c r="B39" s="659">
        <f>Amnt_Deposited!B31</f>
        <v>1970</v>
      </c>
      <c r="C39" s="660">
        <f>Amnt_Deposited!C31</f>
        <v>1029.42</v>
      </c>
      <c r="D39" s="661">
        <f>MCF!R38</f>
        <v>0.8</v>
      </c>
      <c r="E39" s="662">
        <f t="shared" si="1"/>
        <v>61.765200000000007</v>
      </c>
      <c r="F39" s="662">
        <f t="shared" si="0"/>
        <v>61.765200000000007</v>
      </c>
      <c r="G39" s="662">
        <f t="shared" si="2"/>
        <v>0</v>
      </c>
      <c r="H39" s="662">
        <f t="shared" si="3"/>
        <v>284.08070347375946</v>
      </c>
      <c r="I39" s="662">
        <f t="shared" si="4"/>
        <v>45.178609832140644</v>
      </c>
      <c r="J39" s="663">
        <f t="shared" si="5"/>
        <v>33.130980543569805</v>
      </c>
    </row>
    <row r="40" spans="2:10" x14ac:dyDescent="0.25">
      <c r="B40" s="659">
        <f>Amnt_Deposited!B32</f>
        <v>1971</v>
      </c>
      <c r="C40" s="660">
        <f>Amnt_Deposited!C32</f>
        <v>1029.42</v>
      </c>
      <c r="D40" s="661">
        <f>MCF!R39</f>
        <v>0.8</v>
      </c>
      <c r="E40" s="662">
        <f t="shared" si="1"/>
        <v>61.765200000000007</v>
      </c>
      <c r="F40" s="662">
        <f t="shared" si="0"/>
        <v>61.765200000000007</v>
      </c>
      <c r="G40" s="662">
        <f t="shared" si="2"/>
        <v>0</v>
      </c>
      <c r="H40" s="662">
        <f t="shared" si="3"/>
        <v>297.86588961676694</v>
      </c>
      <c r="I40" s="662">
        <f t="shared" si="4"/>
        <v>47.980013856992542</v>
      </c>
      <c r="J40" s="663">
        <f t="shared" si="5"/>
        <v>35.185343495127867</v>
      </c>
    </row>
    <row r="41" spans="2:10" x14ac:dyDescent="0.25">
      <c r="B41" s="659">
        <f>Amnt_Deposited!B33</f>
        <v>1972</v>
      </c>
      <c r="C41" s="660">
        <f>Amnt_Deposited!C33</f>
        <v>1029.42</v>
      </c>
      <c r="D41" s="661">
        <f>MCF!R40</f>
        <v>0.8</v>
      </c>
      <c r="E41" s="662">
        <f t="shared" si="1"/>
        <v>61.765200000000007</v>
      </c>
      <c r="F41" s="662">
        <f t="shared" si="0"/>
        <v>61.765200000000007</v>
      </c>
      <c r="G41" s="662">
        <f t="shared" si="2"/>
        <v>0</v>
      </c>
      <c r="H41" s="662">
        <f t="shared" si="3"/>
        <v>309.32281687391941</v>
      </c>
      <c r="I41" s="662">
        <f t="shared" si="4"/>
        <v>50.308272742847542</v>
      </c>
      <c r="J41" s="663">
        <f t="shared" si="5"/>
        <v>36.892733344754866</v>
      </c>
    </row>
    <row r="42" spans="2:10" x14ac:dyDescent="0.25">
      <c r="B42" s="659">
        <f>Amnt_Deposited!B34</f>
        <v>1973</v>
      </c>
      <c r="C42" s="660">
        <f>Amnt_Deposited!C34</f>
        <v>1029.42</v>
      </c>
      <c r="D42" s="661">
        <f>MCF!R41</f>
        <v>0.8</v>
      </c>
      <c r="E42" s="662">
        <f t="shared" si="1"/>
        <v>61.765200000000007</v>
      </c>
      <c r="F42" s="662">
        <f t="shared" si="0"/>
        <v>61.765200000000007</v>
      </c>
      <c r="G42" s="662">
        <f t="shared" si="2"/>
        <v>0</v>
      </c>
      <c r="H42" s="662">
        <f t="shared" si="3"/>
        <v>318.84471819712098</v>
      </c>
      <c r="I42" s="662">
        <f t="shared" si="4"/>
        <v>52.24329867679841</v>
      </c>
      <c r="J42" s="663">
        <f t="shared" si="5"/>
        <v>38.311752362985501</v>
      </c>
    </row>
    <row r="43" spans="2:10" x14ac:dyDescent="0.25">
      <c r="B43" s="659">
        <f>Amnt_Deposited!B35</f>
        <v>1974</v>
      </c>
      <c r="C43" s="660">
        <f>Amnt_Deposited!C35</f>
        <v>1029.42</v>
      </c>
      <c r="D43" s="661">
        <f>MCF!R42</f>
        <v>0.8</v>
      </c>
      <c r="E43" s="662">
        <f t="shared" si="1"/>
        <v>61.765200000000007</v>
      </c>
      <c r="F43" s="662">
        <f t="shared" si="0"/>
        <v>61.765200000000007</v>
      </c>
      <c r="G43" s="662">
        <f t="shared" si="2"/>
        <v>0</v>
      </c>
      <c r="H43" s="662">
        <f t="shared" si="3"/>
        <v>326.75841117725105</v>
      </c>
      <c r="I43" s="662">
        <f t="shared" si="4"/>
        <v>53.851507019869935</v>
      </c>
      <c r="J43" s="663">
        <f t="shared" si="5"/>
        <v>39.491105147904619</v>
      </c>
    </row>
    <row r="44" spans="2:10" x14ac:dyDescent="0.25">
      <c r="B44" s="659">
        <f>Amnt_Deposited!B36</f>
        <v>1975</v>
      </c>
      <c r="C44" s="660">
        <f>Amnt_Deposited!C36</f>
        <v>1029.42</v>
      </c>
      <c r="D44" s="661">
        <f>MCF!R43</f>
        <v>0.8</v>
      </c>
      <c r="E44" s="662">
        <f t="shared" si="1"/>
        <v>61.765200000000007</v>
      </c>
      <c r="F44" s="662">
        <f t="shared" si="0"/>
        <v>61.765200000000007</v>
      </c>
      <c r="G44" s="662">
        <f t="shared" si="2"/>
        <v>0</v>
      </c>
      <c r="H44" s="662">
        <f t="shared" si="3"/>
        <v>333.33551531412763</v>
      </c>
      <c r="I44" s="662">
        <f t="shared" si="4"/>
        <v>55.188095863123408</v>
      </c>
      <c r="J44" s="663">
        <f t="shared" si="5"/>
        <v>40.471270299623832</v>
      </c>
    </row>
    <row r="45" spans="2:10" x14ac:dyDescent="0.25">
      <c r="B45" s="659">
        <f>Amnt_Deposited!B37</f>
        <v>1976</v>
      </c>
      <c r="C45" s="660">
        <f>Amnt_Deposited!C37</f>
        <v>1029.42</v>
      </c>
      <c r="D45" s="661">
        <f>MCF!R44</f>
        <v>0.8</v>
      </c>
      <c r="E45" s="662">
        <f t="shared" si="1"/>
        <v>61.765200000000007</v>
      </c>
      <c r="F45" s="662">
        <f t="shared" si="0"/>
        <v>61.765200000000007</v>
      </c>
      <c r="G45" s="662">
        <f t="shared" si="2"/>
        <v>0</v>
      </c>
      <c r="H45" s="662">
        <f t="shared" si="3"/>
        <v>338.80177473762728</v>
      </c>
      <c r="I45" s="662">
        <f t="shared" si="4"/>
        <v>56.298940576500328</v>
      </c>
      <c r="J45" s="663">
        <f t="shared" si="5"/>
        <v>41.285889756100246</v>
      </c>
    </row>
    <row r="46" spans="2:10" x14ac:dyDescent="0.25">
      <c r="B46" s="659">
        <f>Amnt_Deposited!B38</f>
        <v>1977</v>
      </c>
      <c r="C46" s="660">
        <f>Amnt_Deposited!C38</f>
        <v>1029.42</v>
      </c>
      <c r="D46" s="661">
        <f>MCF!R45</f>
        <v>0.8</v>
      </c>
      <c r="E46" s="662">
        <f t="shared" si="1"/>
        <v>61.765200000000007</v>
      </c>
      <c r="F46" s="662">
        <f t="shared" si="0"/>
        <v>61.765200000000007</v>
      </c>
      <c r="G46" s="662">
        <f t="shared" si="2"/>
        <v>0</v>
      </c>
      <c r="H46" s="662">
        <f t="shared" si="3"/>
        <v>343.34480636114489</v>
      </c>
      <c r="I46" s="662">
        <f t="shared" si="4"/>
        <v>57.222168376482365</v>
      </c>
      <c r="J46" s="663">
        <f t="shared" si="5"/>
        <v>41.96292347608707</v>
      </c>
    </row>
    <row r="47" spans="2:10" x14ac:dyDescent="0.25">
      <c r="B47" s="659">
        <f>Amnt_Deposited!B39</f>
        <v>1978</v>
      </c>
      <c r="C47" s="660">
        <f>Amnt_Deposited!C39</f>
        <v>1029.42</v>
      </c>
      <c r="D47" s="661">
        <f>MCF!R46</f>
        <v>0.8</v>
      </c>
      <c r="E47" s="662">
        <f t="shared" si="1"/>
        <v>61.765200000000007</v>
      </c>
      <c r="F47" s="662">
        <f t="shared" si="0"/>
        <v>61.765200000000007</v>
      </c>
      <c r="G47" s="662">
        <f t="shared" si="2"/>
        <v>0</v>
      </c>
      <c r="H47" s="662">
        <f t="shared" si="3"/>
        <v>347.12053940512607</v>
      </c>
      <c r="I47" s="662">
        <f t="shared" si="4"/>
        <v>57.989466956018809</v>
      </c>
      <c r="J47" s="663">
        <f t="shared" si="5"/>
        <v>42.525609101080462</v>
      </c>
    </row>
    <row r="48" spans="2:10" x14ac:dyDescent="0.25">
      <c r="B48" s="659">
        <f>Amnt_Deposited!B40</f>
        <v>1979</v>
      </c>
      <c r="C48" s="660">
        <f>Amnt_Deposited!C40</f>
        <v>1029.42</v>
      </c>
      <c r="D48" s="661">
        <f>MCF!R47</f>
        <v>0.8</v>
      </c>
      <c r="E48" s="662">
        <f t="shared" si="1"/>
        <v>61.765200000000007</v>
      </c>
      <c r="F48" s="662">
        <f t="shared" si="0"/>
        <v>61.765200000000007</v>
      </c>
      <c r="G48" s="662">
        <f t="shared" si="2"/>
        <v>0</v>
      </c>
      <c r="H48" s="662">
        <f t="shared" si="3"/>
        <v>350.25856731266083</v>
      </c>
      <c r="I48" s="662">
        <f t="shared" si="4"/>
        <v>58.627172092465209</v>
      </c>
      <c r="J48" s="663">
        <f t="shared" si="5"/>
        <v>42.99325953447449</v>
      </c>
    </row>
    <row r="49" spans="2:10" x14ac:dyDescent="0.25">
      <c r="B49" s="659">
        <f>Amnt_Deposited!B41</f>
        <v>1980</v>
      </c>
      <c r="C49" s="660">
        <f>Amnt_Deposited!C41</f>
        <v>1029.42</v>
      </c>
      <c r="D49" s="661">
        <f>MCF!R48</f>
        <v>0.9</v>
      </c>
      <c r="E49" s="662">
        <f t="shared" si="1"/>
        <v>69.485850000000013</v>
      </c>
      <c r="F49" s="662">
        <f t="shared" si="0"/>
        <v>69.485850000000013</v>
      </c>
      <c r="G49" s="662">
        <f t="shared" si="2"/>
        <v>0</v>
      </c>
      <c r="H49" s="662">
        <f t="shared" si="3"/>
        <v>360.58724574946058</v>
      </c>
      <c r="I49" s="662">
        <f t="shared" si="4"/>
        <v>59.157171563200308</v>
      </c>
      <c r="J49" s="663">
        <f t="shared" si="5"/>
        <v>43.381925813013567</v>
      </c>
    </row>
    <row r="50" spans="2:10" x14ac:dyDescent="0.25">
      <c r="B50" s="659">
        <f>Amnt_Deposited!B42</f>
        <v>1981</v>
      </c>
      <c r="C50" s="660">
        <f>Amnt_Deposited!C42</f>
        <v>1029.42</v>
      </c>
      <c r="D50" s="661">
        <f>MCF!R49</f>
        <v>0.9</v>
      </c>
      <c r="E50" s="662">
        <f t="shared" si="1"/>
        <v>69.485850000000013</v>
      </c>
      <c r="F50" s="662">
        <f t="shared" si="0"/>
        <v>69.485850000000013</v>
      </c>
      <c r="G50" s="662">
        <f t="shared" si="2"/>
        <v>0</v>
      </c>
      <c r="H50" s="662">
        <f t="shared" si="3"/>
        <v>369.17145464481592</v>
      </c>
      <c r="I50" s="662">
        <f t="shared" si="4"/>
        <v>60.901641104644703</v>
      </c>
      <c r="J50" s="663">
        <f t="shared" si="5"/>
        <v>44.661203476739452</v>
      </c>
    </row>
    <row r="51" spans="2:10" x14ac:dyDescent="0.25">
      <c r="B51" s="659">
        <f>Amnt_Deposited!B43</f>
        <v>1982</v>
      </c>
      <c r="C51" s="660">
        <f>Amnt_Deposited!C43</f>
        <v>1029.42</v>
      </c>
      <c r="D51" s="661">
        <f>MCF!R50</f>
        <v>0.9</v>
      </c>
      <c r="E51" s="662">
        <f t="shared" si="1"/>
        <v>69.485850000000013</v>
      </c>
      <c r="F51" s="662">
        <f t="shared" si="0"/>
        <v>69.485850000000013</v>
      </c>
      <c r="G51" s="662">
        <f t="shared" si="2"/>
        <v>0</v>
      </c>
      <c r="H51" s="662">
        <f t="shared" si="3"/>
        <v>376.30582743122727</v>
      </c>
      <c r="I51" s="662">
        <f t="shared" si="4"/>
        <v>62.351477213588701</v>
      </c>
      <c r="J51" s="663">
        <f t="shared" si="5"/>
        <v>45.724416623298382</v>
      </c>
    </row>
    <row r="52" spans="2:10" x14ac:dyDescent="0.25">
      <c r="B52" s="659">
        <f>Amnt_Deposited!B44</f>
        <v>1983</v>
      </c>
      <c r="C52" s="660">
        <f>Amnt_Deposited!C44</f>
        <v>1029.42</v>
      </c>
      <c r="D52" s="661">
        <f>MCF!R51</f>
        <v>0.9</v>
      </c>
      <c r="E52" s="662">
        <f t="shared" si="1"/>
        <v>69.485850000000013</v>
      </c>
      <c r="F52" s="662">
        <f t="shared" si="0"/>
        <v>69.485850000000013</v>
      </c>
      <c r="G52" s="662">
        <f t="shared" si="2"/>
        <v>0</v>
      </c>
      <c r="H52" s="662">
        <f t="shared" si="3"/>
        <v>382.23523521661173</v>
      </c>
      <c r="I52" s="662">
        <f t="shared" si="4"/>
        <v>63.556442214615551</v>
      </c>
      <c r="J52" s="663">
        <f t="shared" si="5"/>
        <v>46.608057624051412</v>
      </c>
    </row>
    <row r="53" spans="2:10" x14ac:dyDescent="0.25">
      <c r="B53" s="659">
        <f>Amnt_Deposited!B45</f>
        <v>1984</v>
      </c>
      <c r="C53" s="660">
        <f>Amnt_Deposited!C45</f>
        <v>1029.42</v>
      </c>
      <c r="D53" s="661">
        <f>MCF!R52</f>
        <v>0.9</v>
      </c>
      <c r="E53" s="662">
        <f t="shared" si="1"/>
        <v>69.485850000000013</v>
      </c>
      <c r="F53" s="662">
        <f t="shared" si="0"/>
        <v>69.485850000000013</v>
      </c>
      <c r="G53" s="662">
        <f t="shared" si="2"/>
        <v>0</v>
      </c>
      <c r="H53" s="662">
        <f t="shared" si="3"/>
        <v>387.16319142775092</v>
      </c>
      <c r="I53" s="662">
        <f t="shared" si="4"/>
        <v>64.557893788860838</v>
      </c>
      <c r="J53" s="663">
        <f t="shared" si="5"/>
        <v>47.342455445164617</v>
      </c>
    </row>
    <row r="54" spans="2:10" x14ac:dyDescent="0.25">
      <c r="B54" s="659">
        <f>Amnt_Deposited!B46</f>
        <v>1985</v>
      </c>
      <c r="C54" s="660">
        <f>Amnt_Deposited!C46</f>
        <v>1029.42</v>
      </c>
      <c r="D54" s="661">
        <f>MCF!R53</f>
        <v>0.9</v>
      </c>
      <c r="E54" s="662">
        <f t="shared" si="1"/>
        <v>69.485850000000013</v>
      </c>
      <c r="F54" s="662">
        <f t="shared" si="0"/>
        <v>69.485850000000013</v>
      </c>
      <c r="G54" s="662">
        <f t="shared" si="2"/>
        <v>0</v>
      </c>
      <c r="H54" s="662">
        <f t="shared" si="3"/>
        <v>391.2588369454644</v>
      </c>
      <c r="I54" s="662">
        <f t="shared" si="4"/>
        <v>65.390204482286563</v>
      </c>
      <c r="J54" s="663">
        <f t="shared" si="5"/>
        <v>47.952816620343484</v>
      </c>
    </row>
    <row r="55" spans="2:10" x14ac:dyDescent="0.25">
      <c r="B55" s="659">
        <f>Amnt_Deposited!B47</f>
        <v>1986</v>
      </c>
      <c r="C55" s="660">
        <f>Amnt_Deposited!C47</f>
        <v>1029.42</v>
      </c>
      <c r="D55" s="661">
        <f>MCF!R54</f>
        <v>0.9</v>
      </c>
      <c r="E55" s="662">
        <f t="shared" si="1"/>
        <v>69.485850000000013</v>
      </c>
      <c r="F55" s="662">
        <f t="shared" si="0"/>
        <v>69.485850000000013</v>
      </c>
      <c r="G55" s="662">
        <f t="shared" si="2"/>
        <v>0</v>
      </c>
      <c r="H55" s="662">
        <f t="shared" si="3"/>
        <v>394.6627454803758</v>
      </c>
      <c r="I55" s="662">
        <f t="shared" si="4"/>
        <v>66.081941465088605</v>
      </c>
      <c r="J55" s="663">
        <f t="shared" si="5"/>
        <v>48.460090407731641</v>
      </c>
    </row>
    <row r="56" spans="2:10" x14ac:dyDescent="0.25">
      <c r="B56" s="659">
        <f>Amnt_Deposited!B48</f>
        <v>1987</v>
      </c>
      <c r="C56" s="660">
        <f>Amnt_Deposited!C48</f>
        <v>1029.42</v>
      </c>
      <c r="D56" s="661">
        <f>MCF!R55</f>
        <v>0.9</v>
      </c>
      <c r="E56" s="662">
        <f t="shared" si="1"/>
        <v>69.485850000000013</v>
      </c>
      <c r="F56" s="662">
        <f t="shared" si="0"/>
        <v>69.485850000000013</v>
      </c>
      <c r="G56" s="662">
        <f t="shared" si="2"/>
        <v>0</v>
      </c>
      <c r="H56" s="662">
        <f t="shared" si="3"/>
        <v>397.49174844558149</v>
      </c>
      <c r="I56" s="662">
        <f t="shared" si="4"/>
        <v>66.656847034794339</v>
      </c>
      <c r="J56" s="663">
        <f t="shared" si="5"/>
        <v>48.881687825515854</v>
      </c>
    </row>
    <row r="57" spans="2:10" x14ac:dyDescent="0.25">
      <c r="B57" s="659">
        <f>Amnt_Deposited!B49</f>
        <v>1988</v>
      </c>
      <c r="C57" s="660">
        <f>Amnt_Deposited!C49</f>
        <v>1029.42</v>
      </c>
      <c r="D57" s="661">
        <f>MCF!R56</f>
        <v>0.9</v>
      </c>
      <c r="E57" s="662">
        <f t="shared" si="1"/>
        <v>69.485850000000013</v>
      </c>
      <c r="F57" s="662">
        <f t="shared" si="0"/>
        <v>69.485850000000013</v>
      </c>
      <c r="G57" s="662">
        <f t="shared" si="2"/>
        <v>0</v>
      </c>
      <c r="H57" s="662">
        <f t="shared" si="3"/>
        <v>399.84294492899431</v>
      </c>
      <c r="I57" s="662">
        <f t="shared" si="4"/>
        <v>67.134653516587207</v>
      </c>
      <c r="J57" s="663">
        <f t="shared" si="5"/>
        <v>49.232079245497289</v>
      </c>
    </row>
    <row r="58" spans="2:10" x14ac:dyDescent="0.25">
      <c r="B58" s="659">
        <f>Amnt_Deposited!B50</f>
        <v>1989</v>
      </c>
      <c r="C58" s="660">
        <f>Amnt_Deposited!C50</f>
        <v>1029.42</v>
      </c>
      <c r="D58" s="661">
        <f>MCF!R57</f>
        <v>0.9</v>
      </c>
      <c r="E58" s="662">
        <f t="shared" si="1"/>
        <v>69.485850000000013</v>
      </c>
      <c r="F58" s="662">
        <f t="shared" si="0"/>
        <v>69.485850000000013</v>
      </c>
      <c r="G58" s="662">
        <f t="shared" si="2"/>
        <v>0</v>
      </c>
      <c r="H58" s="662">
        <f t="shared" si="3"/>
        <v>401.79703439853677</v>
      </c>
      <c r="I58" s="662">
        <f t="shared" si="4"/>
        <v>67.531760530457575</v>
      </c>
      <c r="J58" s="663">
        <f t="shared" si="5"/>
        <v>49.523291055668892</v>
      </c>
    </row>
    <row r="59" spans="2:10" x14ac:dyDescent="0.25">
      <c r="B59" s="659">
        <f>Amnt_Deposited!B51</f>
        <v>1990</v>
      </c>
      <c r="C59" s="660">
        <f>Amnt_Deposited!C51</f>
        <v>1029.42</v>
      </c>
      <c r="D59" s="661">
        <f>MCF!R58</f>
        <v>1</v>
      </c>
      <c r="E59" s="662">
        <f t="shared" si="1"/>
        <v>77.206500000000005</v>
      </c>
      <c r="F59" s="662">
        <f t="shared" si="0"/>
        <v>77.206500000000005</v>
      </c>
      <c r="G59" s="662">
        <f t="shared" si="2"/>
        <v>0</v>
      </c>
      <c r="H59" s="662">
        <f t="shared" si="3"/>
        <v>411.14173652770381</v>
      </c>
      <c r="I59" s="662">
        <f t="shared" si="4"/>
        <v>67.861797870832973</v>
      </c>
      <c r="J59" s="663">
        <f t="shared" si="5"/>
        <v>49.765318438610848</v>
      </c>
    </row>
    <row r="60" spans="2:10" x14ac:dyDescent="0.25">
      <c r="B60" s="659">
        <f>Amnt_Deposited!B52</f>
        <v>1991</v>
      </c>
      <c r="C60" s="660">
        <f>Amnt_Deposited!C52</f>
        <v>642.3039</v>
      </c>
      <c r="D60" s="661">
        <f>MCF!R59</f>
        <v>1</v>
      </c>
      <c r="E60" s="662">
        <f t="shared" si="1"/>
        <v>48.1727925</v>
      </c>
      <c r="F60" s="662">
        <f t="shared" si="0"/>
        <v>48.1727925</v>
      </c>
      <c r="G60" s="662">
        <f t="shared" si="2"/>
        <v>0</v>
      </c>
      <c r="H60" s="662">
        <f t="shared" si="3"/>
        <v>389.87445099857661</v>
      </c>
      <c r="I60" s="662">
        <f t="shared" si="4"/>
        <v>69.440078029127207</v>
      </c>
      <c r="J60" s="663">
        <f t="shared" si="5"/>
        <v>50.922723888026617</v>
      </c>
    </row>
    <row r="61" spans="2:10" x14ac:dyDescent="0.25">
      <c r="B61" s="659">
        <f>Amnt_Deposited!B53</f>
        <v>1992</v>
      </c>
      <c r="C61" s="660">
        <f>Amnt_Deposited!C53</f>
        <v>646.90920000000006</v>
      </c>
      <c r="D61" s="661">
        <f>MCF!R60</f>
        <v>1</v>
      </c>
      <c r="E61" s="662">
        <f t="shared" si="1"/>
        <v>48.518190000000004</v>
      </c>
      <c r="F61" s="662">
        <f t="shared" si="0"/>
        <v>48.518190000000004</v>
      </c>
      <c r="G61" s="662">
        <f t="shared" si="2"/>
        <v>0</v>
      </c>
      <c r="H61" s="662">
        <f t="shared" si="3"/>
        <v>372.54451638941265</v>
      </c>
      <c r="I61" s="662">
        <f t="shared" si="4"/>
        <v>65.848124609163946</v>
      </c>
      <c r="J61" s="663">
        <f t="shared" si="5"/>
        <v>48.288624713386895</v>
      </c>
    </row>
    <row r="62" spans="2:10" x14ac:dyDescent="0.25">
      <c r="B62" s="659">
        <f>Amnt_Deposited!B54</f>
        <v>1993</v>
      </c>
      <c r="C62" s="660">
        <f>Amnt_Deposited!C54</f>
        <v>672.91559999999993</v>
      </c>
      <c r="D62" s="661">
        <f>MCF!R61</f>
        <v>1</v>
      </c>
      <c r="E62" s="662">
        <f t="shared" si="1"/>
        <v>50.468669999999996</v>
      </c>
      <c r="F62" s="662">
        <f t="shared" si="0"/>
        <v>50.468669999999996</v>
      </c>
      <c r="G62" s="662">
        <f t="shared" si="2"/>
        <v>0</v>
      </c>
      <c r="H62" s="662">
        <f t="shared" si="3"/>
        <v>360.09201349685924</v>
      </c>
      <c r="I62" s="662">
        <f t="shared" si="4"/>
        <v>62.921172892553365</v>
      </c>
      <c r="J62" s="663">
        <f t="shared" si="5"/>
        <v>46.142193454539132</v>
      </c>
    </row>
    <row r="63" spans="2:10" x14ac:dyDescent="0.25">
      <c r="B63" s="659">
        <f>Amnt_Deposited!B55</f>
        <v>1994</v>
      </c>
      <c r="C63" s="660">
        <f>Amnt_Deposited!C55</f>
        <v>688.89870000000008</v>
      </c>
      <c r="D63" s="661">
        <f>MCF!R62</f>
        <v>1</v>
      </c>
      <c r="E63" s="662">
        <f t="shared" si="1"/>
        <v>51.667402500000001</v>
      </c>
      <c r="F63" s="662">
        <f t="shared" si="0"/>
        <v>51.667402500000001</v>
      </c>
      <c r="G63" s="662">
        <f t="shared" si="2"/>
        <v>0</v>
      </c>
      <c r="H63" s="662">
        <f t="shared" si="3"/>
        <v>350.94141749817715</v>
      </c>
      <c r="I63" s="662">
        <f t="shared" si="4"/>
        <v>60.81799849868208</v>
      </c>
      <c r="J63" s="663">
        <f t="shared" si="5"/>
        <v>44.599865565700192</v>
      </c>
    </row>
    <row r="64" spans="2:10" x14ac:dyDescent="0.25">
      <c r="B64" s="659">
        <f>Amnt_Deposited!B56</f>
        <v>1995</v>
      </c>
      <c r="C64" s="660">
        <f>Amnt_Deposited!C56</f>
        <v>693.7749</v>
      </c>
      <c r="D64" s="661">
        <f>MCF!R63</f>
        <v>1</v>
      </c>
      <c r="E64" s="662">
        <f t="shared" si="1"/>
        <v>52.033117499999996</v>
      </c>
      <c r="F64" s="662">
        <f t="shared" si="0"/>
        <v>52.033117499999996</v>
      </c>
      <c r="G64" s="662">
        <f t="shared" si="2"/>
        <v>0</v>
      </c>
      <c r="H64" s="662">
        <f t="shared" si="3"/>
        <v>343.70203296387234</v>
      </c>
      <c r="I64" s="662">
        <f t="shared" si="4"/>
        <v>59.272502034304793</v>
      </c>
      <c r="J64" s="663">
        <f t="shared" si="5"/>
        <v>43.466501491823522</v>
      </c>
    </row>
    <row r="65" spans="2:10" x14ac:dyDescent="0.25">
      <c r="B65" s="659">
        <f>Amnt_Deposited!B57</f>
        <v>1996</v>
      </c>
      <c r="C65" s="660">
        <f>Amnt_Deposited!C57</f>
        <v>684.08100000000002</v>
      </c>
      <c r="D65" s="661">
        <f>MCF!R64</f>
        <v>1</v>
      </c>
      <c r="E65" s="662">
        <f t="shared" si="1"/>
        <v>51.306075</v>
      </c>
      <c r="F65" s="662">
        <f t="shared" si="0"/>
        <v>51.306075</v>
      </c>
      <c r="G65" s="662">
        <f t="shared" si="2"/>
        <v>0</v>
      </c>
      <c r="H65" s="662">
        <f t="shared" si="3"/>
        <v>336.95830696495881</v>
      </c>
      <c r="I65" s="662">
        <f t="shared" si="4"/>
        <v>58.04980099891354</v>
      </c>
      <c r="J65" s="663">
        <f t="shared" si="5"/>
        <v>42.569854065869933</v>
      </c>
    </row>
    <row r="66" spans="2:10" x14ac:dyDescent="0.25">
      <c r="B66" s="659">
        <f>Amnt_Deposited!B58</f>
        <v>1997</v>
      </c>
      <c r="C66" s="660">
        <f>Amnt_Deposited!C58</f>
        <v>676.1160000000001</v>
      </c>
      <c r="D66" s="661">
        <f>MCF!R65</f>
        <v>1</v>
      </c>
      <c r="E66" s="662">
        <f t="shared" si="1"/>
        <v>50.708700000000007</v>
      </c>
      <c r="F66" s="662">
        <f t="shared" si="0"/>
        <v>50.708700000000007</v>
      </c>
      <c r="G66" s="662">
        <f t="shared" si="2"/>
        <v>0</v>
      </c>
      <c r="H66" s="662">
        <f t="shared" si="3"/>
        <v>330.75619239813682</v>
      </c>
      <c r="I66" s="662">
        <f t="shared" si="4"/>
        <v>56.910814566821998</v>
      </c>
      <c r="J66" s="663">
        <f t="shared" si="5"/>
        <v>41.734597349002797</v>
      </c>
    </row>
    <row r="67" spans="2:10" x14ac:dyDescent="0.25">
      <c r="B67" s="659">
        <f>Amnt_Deposited!B59</f>
        <v>1998</v>
      </c>
      <c r="C67" s="660">
        <f>Amnt_Deposited!C59</f>
        <v>665.577</v>
      </c>
      <c r="D67" s="661">
        <f>MCF!R66</f>
        <v>1</v>
      </c>
      <c r="E67" s="662">
        <f t="shared" si="1"/>
        <v>49.918275000000001</v>
      </c>
      <c r="F67" s="662">
        <f t="shared" si="0"/>
        <v>49.918275000000001</v>
      </c>
      <c r="G67" s="662">
        <f t="shared" si="2"/>
        <v>0</v>
      </c>
      <c r="H67" s="662">
        <f t="shared" si="3"/>
        <v>324.81116341270939</v>
      </c>
      <c r="I67" s="662">
        <f t="shared" si="4"/>
        <v>55.863303985427436</v>
      </c>
      <c r="J67" s="663">
        <f t="shared" si="5"/>
        <v>40.966422922646785</v>
      </c>
    </row>
    <row r="68" spans="2:10" x14ac:dyDescent="0.25">
      <c r="B68" s="659">
        <f>Amnt_Deposited!B60</f>
        <v>1999</v>
      </c>
      <c r="C68" s="660">
        <f>Amnt_Deposited!C60</f>
        <v>656.13599999999997</v>
      </c>
      <c r="D68" s="661">
        <f>MCF!R67</f>
        <v>1</v>
      </c>
      <c r="E68" s="662">
        <f t="shared" si="1"/>
        <v>49.210199999999993</v>
      </c>
      <c r="F68" s="662">
        <f t="shared" si="0"/>
        <v>49.210199999999993</v>
      </c>
      <c r="G68" s="662">
        <f t="shared" si="2"/>
        <v>0</v>
      </c>
      <c r="H68" s="662">
        <f t="shared" si="3"/>
        <v>319.16214935529558</v>
      </c>
      <c r="I68" s="662">
        <f t="shared" si="4"/>
        <v>54.859214057413794</v>
      </c>
      <c r="J68" s="663">
        <f t="shared" si="5"/>
        <v>40.230090308770116</v>
      </c>
    </row>
    <row r="69" spans="2:10" x14ac:dyDescent="0.25">
      <c r="B69" s="659">
        <f>Amnt_Deposited!B61</f>
        <v>2000</v>
      </c>
      <c r="C69" s="660">
        <f>Amnt_Deposited!C61</f>
        <v>592.20000000000005</v>
      </c>
      <c r="D69" s="661">
        <f>MCF!R68</f>
        <v>1</v>
      </c>
      <c r="E69" s="662">
        <f t="shared" si="1"/>
        <v>44.414999999999999</v>
      </c>
      <c r="F69" s="662">
        <f t="shared" si="0"/>
        <v>44.414999999999999</v>
      </c>
      <c r="G69" s="662">
        <f t="shared" si="2"/>
        <v>0</v>
      </c>
      <c r="H69" s="662">
        <f t="shared" si="3"/>
        <v>309.67202957263811</v>
      </c>
      <c r="I69" s="662">
        <f t="shared" si="4"/>
        <v>53.905119782657479</v>
      </c>
      <c r="J69" s="663">
        <f t="shared" si="5"/>
        <v>39.530421173948817</v>
      </c>
    </row>
    <row r="70" spans="2:10" x14ac:dyDescent="0.25">
      <c r="B70" s="659">
        <f>Amnt_Deposited!B62</f>
        <v>2001</v>
      </c>
      <c r="C70" s="660">
        <f>Amnt_Deposited!C62</f>
        <v>580.22100000000012</v>
      </c>
      <c r="D70" s="661">
        <f>MCF!R69</f>
        <v>1</v>
      </c>
      <c r="E70" s="662">
        <f t="shared" si="1"/>
        <v>43.51657500000001</v>
      </c>
      <c r="F70" s="662">
        <f t="shared" si="0"/>
        <v>43.51657500000001</v>
      </c>
      <c r="G70" s="662">
        <f t="shared" si="2"/>
        <v>0</v>
      </c>
      <c r="H70" s="662">
        <f t="shared" si="3"/>
        <v>300.88632536700163</v>
      </c>
      <c r="I70" s="662">
        <f t="shared" si="4"/>
        <v>52.302279205636438</v>
      </c>
      <c r="J70" s="663">
        <f t="shared" si="5"/>
        <v>38.355004750800056</v>
      </c>
    </row>
    <row r="71" spans="2:10" x14ac:dyDescent="0.25">
      <c r="B71" s="659">
        <f>Amnt_Deposited!B63</f>
        <v>2002</v>
      </c>
      <c r="C71" s="660">
        <f>Amnt_Deposited!C63</f>
        <v>635.85</v>
      </c>
      <c r="D71" s="661">
        <f>MCF!R70</f>
        <v>1</v>
      </c>
      <c r="E71" s="662">
        <f t="shared" si="1"/>
        <v>47.688749999999999</v>
      </c>
      <c r="F71" s="662">
        <f t="shared" si="0"/>
        <v>47.688749999999999</v>
      </c>
      <c r="G71" s="662">
        <f t="shared" si="2"/>
        <v>0</v>
      </c>
      <c r="H71" s="662">
        <f t="shared" si="3"/>
        <v>297.75666396503959</v>
      </c>
      <c r="I71" s="662">
        <f t="shared" si="4"/>
        <v>50.818411401962074</v>
      </c>
      <c r="J71" s="663">
        <f t="shared" si="5"/>
        <v>37.266835028105518</v>
      </c>
    </row>
    <row r="72" spans="2:10" x14ac:dyDescent="0.25">
      <c r="B72" s="659">
        <f>Amnt_Deposited!B64</f>
        <v>2003</v>
      </c>
      <c r="C72" s="660">
        <f>Amnt_Deposited!C64</f>
        <v>709.56000000000006</v>
      </c>
      <c r="D72" s="661">
        <f>MCF!R71</f>
        <v>1</v>
      </c>
      <c r="E72" s="662">
        <f t="shared" si="1"/>
        <v>53.217000000000006</v>
      </c>
      <c r="F72" s="662">
        <f t="shared" si="0"/>
        <v>53.217000000000006</v>
      </c>
      <c r="G72" s="662">
        <f t="shared" si="2"/>
        <v>0</v>
      </c>
      <c r="H72" s="662">
        <f t="shared" si="3"/>
        <v>300.68383896686225</v>
      </c>
      <c r="I72" s="662">
        <f t="shared" si="4"/>
        <v>50.289824998177338</v>
      </c>
      <c r="J72" s="663">
        <f t="shared" si="5"/>
        <v>36.879204998663383</v>
      </c>
    </row>
    <row r="73" spans="2:10" x14ac:dyDescent="0.25">
      <c r="B73" s="659">
        <f>Amnt_Deposited!B65</f>
        <v>2004</v>
      </c>
      <c r="C73" s="660">
        <f>Amnt_Deposited!C65</f>
        <v>797.04000000000008</v>
      </c>
      <c r="D73" s="661">
        <f>MCF!R72</f>
        <v>1</v>
      </c>
      <c r="E73" s="662">
        <f t="shared" si="1"/>
        <v>59.778000000000006</v>
      </c>
      <c r="F73" s="662">
        <f t="shared" si="0"/>
        <v>59.778000000000006</v>
      </c>
      <c r="G73" s="662">
        <f t="shared" si="2"/>
        <v>0</v>
      </c>
      <c r="H73" s="662">
        <f t="shared" si="3"/>
        <v>309.67762665046195</v>
      </c>
      <c r="I73" s="662">
        <f t="shared" si="4"/>
        <v>50.784212316400328</v>
      </c>
      <c r="J73" s="663">
        <f t="shared" si="5"/>
        <v>37.241755698693574</v>
      </c>
    </row>
    <row r="74" spans="2:10" x14ac:dyDescent="0.25">
      <c r="B74" s="659">
        <f>Amnt_Deposited!B66</f>
        <v>2005</v>
      </c>
      <c r="C74" s="660">
        <f>Amnt_Deposited!C66</f>
        <v>864</v>
      </c>
      <c r="D74" s="661">
        <f>MCF!R73</f>
        <v>1</v>
      </c>
      <c r="E74" s="662">
        <f t="shared" si="1"/>
        <v>64.8</v>
      </c>
      <c r="F74" s="662">
        <f t="shared" si="0"/>
        <v>64.8</v>
      </c>
      <c r="G74" s="662">
        <f t="shared" si="2"/>
        <v>0</v>
      </c>
      <c r="H74" s="662">
        <f t="shared" si="3"/>
        <v>322.17440212235812</v>
      </c>
      <c r="I74" s="662">
        <f t="shared" si="4"/>
        <v>52.303224528103833</v>
      </c>
      <c r="J74" s="663">
        <f t="shared" si="5"/>
        <v>38.355697987276145</v>
      </c>
    </row>
    <row r="75" spans="2:10" x14ac:dyDescent="0.25">
      <c r="B75" s="659">
        <f>Amnt_Deposited!B67</f>
        <v>2006</v>
      </c>
      <c r="C75" s="660">
        <f>Amnt_Deposited!C67</f>
        <v>884.16</v>
      </c>
      <c r="D75" s="661">
        <f>MCF!R74</f>
        <v>1</v>
      </c>
      <c r="E75" s="662">
        <f t="shared" si="1"/>
        <v>66.311999999999998</v>
      </c>
      <c r="F75" s="662">
        <f t="shared" si="0"/>
        <v>66.311999999999998</v>
      </c>
      <c r="G75" s="662">
        <f t="shared" si="2"/>
        <v>0</v>
      </c>
      <c r="H75" s="662">
        <f t="shared" si="3"/>
        <v>334.07252575138921</v>
      </c>
      <c r="I75" s="662">
        <f t="shared" si="4"/>
        <v>54.413876370968929</v>
      </c>
      <c r="J75" s="663">
        <f t="shared" si="5"/>
        <v>39.903509338710549</v>
      </c>
    </row>
    <row r="76" spans="2:10" x14ac:dyDescent="0.25">
      <c r="B76" s="659">
        <f>Amnt_Deposited!B68</f>
        <v>2007</v>
      </c>
      <c r="C76" s="660">
        <f>Amnt_Deposited!C68</f>
        <v>927.64800000000002</v>
      </c>
      <c r="D76" s="661">
        <f>MCF!R75</f>
        <v>1</v>
      </c>
      <c r="E76" s="662">
        <f t="shared" si="1"/>
        <v>69.573599999999999</v>
      </c>
      <c r="F76" s="662">
        <f t="shared" si="0"/>
        <v>69.573599999999999</v>
      </c>
      <c r="G76" s="662">
        <f t="shared" si="2"/>
        <v>0</v>
      </c>
      <c r="H76" s="662">
        <f t="shared" si="3"/>
        <v>347.22270726927911</v>
      </c>
      <c r="I76" s="662">
        <f t="shared" si="4"/>
        <v>56.42341848211008</v>
      </c>
      <c r="J76" s="663">
        <f t="shared" si="5"/>
        <v>41.377173553547394</v>
      </c>
    </row>
    <row r="77" spans="2:10" x14ac:dyDescent="0.25">
      <c r="B77" s="659">
        <f>Amnt_Deposited!B69</f>
        <v>2008</v>
      </c>
      <c r="C77" s="660">
        <f>Amnt_Deposited!C69</f>
        <v>954.43200000000002</v>
      </c>
      <c r="D77" s="661">
        <f>MCF!R76</f>
        <v>1</v>
      </c>
      <c r="E77" s="662">
        <f t="shared" si="1"/>
        <v>71.582399999999993</v>
      </c>
      <c r="F77" s="662">
        <f t="shared" si="0"/>
        <v>71.582399999999993</v>
      </c>
      <c r="G77" s="662">
        <f t="shared" si="2"/>
        <v>0</v>
      </c>
      <c r="H77" s="662">
        <f t="shared" si="3"/>
        <v>360.16067946223046</v>
      </c>
      <c r="I77" s="662">
        <f t="shared" si="4"/>
        <v>58.644427807048636</v>
      </c>
      <c r="J77" s="663">
        <f t="shared" si="5"/>
        <v>43.005913725169002</v>
      </c>
    </row>
    <row r="78" spans="2:10" x14ac:dyDescent="0.25">
      <c r="B78" s="659">
        <f>Amnt_Deposited!B70</f>
        <v>2009</v>
      </c>
      <c r="C78" s="660">
        <f>Amnt_Deposited!C70</f>
        <v>1078.56</v>
      </c>
      <c r="D78" s="661">
        <f>MCF!R77</f>
        <v>1</v>
      </c>
      <c r="E78" s="662">
        <f t="shared" si="1"/>
        <v>80.891999999999996</v>
      </c>
      <c r="F78" s="662">
        <f t="shared" si="0"/>
        <v>80.891999999999996</v>
      </c>
      <c r="G78" s="662">
        <f t="shared" si="2"/>
        <v>0</v>
      </c>
      <c r="H78" s="662">
        <f t="shared" si="3"/>
        <v>380.22308357615202</v>
      </c>
      <c r="I78" s="662">
        <f t="shared" si="4"/>
        <v>60.829595886078437</v>
      </c>
      <c r="J78" s="663">
        <f t="shared" si="5"/>
        <v>44.608370316457524</v>
      </c>
    </row>
    <row r="79" spans="2:10" x14ac:dyDescent="0.25">
      <c r="B79" s="659">
        <f>Amnt_Deposited!B71</f>
        <v>2010</v>
      </c>
      <c r="C79" s="660">
        <f>Amnt_Deposited!C71</f>
        <v>1072.8899999999999</v>
      </c>
      <c r="D79" s="661">
        <f>MCF!R78</f>
        <v>1</v>
      </c>
      <c r="E79" s="662">
        <f t="shared" si="1"/>
        <v>80.46674999999999</v>
      </c>
      <c r="F79" s="662">
        <f t="shared" si="0"/>
        <v>80.46674999999999</v>
      </c>
      <c r="G79" s="662">
        <f t="shared" si="2"/>
        <v>0</v>
      </c>
      <c r="H79" s="662">
        <f t="shared" si="3"/>
        <v>396.47178357960473</v>
      </c>
      <c r="I79" s="662">
        <f t="shared" si="4"/>
        <v>64.218049996547279</v>
      </c>
      <c r="J79" s="663">
        <f t="shared" si="5"/>
        <v>47.093236664134679</v>
      </c>
    </row>
    <row r="80" spans="2:10" x14ac:dyDescent="0.25">
      <c r="B80" s="659">
        <f>Amnt_Deposited!B72</f>
        <v>2011</v>
      </c>
      <c r="C80" s="660">
        <f>Amnt_Deposited!C72</f>
        <v>1003.275</v>
      </c>
      <c r="D80" s="661">
        <f>MCF!R79</f>
        <v>1</v>
      </c>
      <c r="E80" s="662">
        <f t="shared" si="1"/>
        <v>75.24562499999999</v>
      </c>
      <c r="F80" s="662">
        <f t="shared" si="0"/>
        <v>75.24562499999999</v>
      </c>
      <c r="G80" s="662">
        <f t="shared" si="2"/>
        <v>0</v>
      </c>
      <c r="H80" s="662">
        <f t="shared" si="3"/>
        <v>404.75502275950237</v>
      </c>
      <c r="I80" s="662">
        <f t="shared" si="4"/>
        <v>66.962385820102398</v>
      </c>
      <c r="J80" s="663">
        <f t="shared" si="5"/>
        <v>49.105749601408434</v>
      </c>
    </row>
    <row r="81" spans="2:10" x14ac:dyDescent="0.25">
      <c r="B81" s="659">
        <f>Amnt_Deposited!B73</f>
        <v>2012</v>
      </c>
      <c r="C81" s="660">
        <f>Amnt_Deposited!C73</f>
        <v>939.01499999999999</v>
      </c>
      <c r="D81" s="661">
        <f>MCF!R80</f>
        <v>1</v>
      </c>
      <c r="E81" s="662">
        <f t="shared" si="1"/>
        <v>70.426124999999999</v>
      </c>
      <c r="F81" s="662">
        <f t="shared" si="0"/>
        <v>70.426124999999999</v>
      </c>
      <c r="G81" s="662">
        <f t="shared" si="2"/>
        <v>0</v>
      </c>
      <c r="H81" s="662">
        <f t="shared" si="3"/>
        <v>406.81975832608703</v>
      </c>
      <c r="I81" s="662">
        <f t="shared" si="4"/>
        <v>68.36138943341534</v>
      </c>
      <c r="J81" s="663">
        <f t="shared" si="5"/>
        <v>50.131685584504581</v>
      </c>
    </row>
    <row r="82" spans="2:10" x14ac:dyDescent="0.25">
      <c r="B82" s="659">
        <f>Amnt_Deposited!B74</f>
        <v>2013</v>
      </c>
      <c r="C82" s="660">
        <f>Amnt_Deposited!C74</f>
        <v>877.59</v>
      </c>
      <c r="D82" s="661">
        <f>MCF!R81</f>
        <v>1</v>
      </c>
      <c r="E82" s="662">
        <f t="shared" si="1"/>
        <v>65.819249999999997</v>
      </c>
      <c r="F82" s="662">
        <f t="shared" si="0"/>
        <v>65.819249999999997</v>
      </c>
      <c r="G82" s="662">
        <f t="shared" si="2"/>
        <v>0</v>
      </c>
      <c r="H82" s="662">
        <f t="shared" si="3"/>
        <v>403.92889390049737</v>
      </c>
      <c r="I82" s="662">
        <f t="shared" si="4"/>
        <v>68.710114425589637</v>
      </c>
      <c r="J82" s="663">
        <f t="shared" si="5"/>
        <v>50.387417245432403</v>
      </c>
    </row>
    <row r="83" spans="2:10" x14ac:dyDescent="0.25">
      <c r="B83" s="659">
        <f>Amnt_Deposited!B75</f>
        <v>2014</v>
      </c>
      <c r="C83" s="660">
        <f>Amnt_Deposited!C75</f>
        <v>847.98</v>
      </c>
      <c r="D83" s="661">
        <f>MCF!R82</f>
        <v>1</v>
      </c>
      <c r="E83" s="662">
        <f t="shared" si="1"/>
        <v>63.598500000000001</v>
      </c>
      <c r="F83" s="662">
        <f t="shared" ref="F83:F109" si="6">E83*$I$12</f>
        <v>63.598500000000001</v>
      </c>
      <c r="G83" s="662">
        <f t="shared" si="2"/>
        <v>0</v>
      </c>
      <c r="H83" s="662">
        <f t="shared" si="3"/>
        <v>399.30553409235409</v>
      </c>
      <c r="I83" s="662">
        <f t="shared" si="4"/>
        <v>68.221859808143265</v>
      </c>
      <c r="J83" s="663">
        <f t="shared" si="5"/>
        <v>50.029363859305064</v>
      </c>
    </row>
    <row r="84" spans="2:10" x14ac:dyDescent="0.25">
      <c r="B84" s="659">
        <f>Amnt_Deposited!B76</f>
        <v>2015</v>
      </c>
      <c r="C84" s="660">
        <f>Amnt_Deposited!C76</f>
        <v>809.55</v>
      </c>
      <c r="D84" s="661">
        <f>MCF!R83</f>
        <v>1</v>
      </c>
      <c r="E84" s="662">
        <f t="shared" ref="E84:E109" si="7">C84*$I$6*DOCF*D84</f>
        <v>60.716249999999995</v>
      </c>
      <c r="F84" s="662">
        <f t="shared" si="6"/>
        <v>60.716249999999995</v>
      </c>
      <c r="G84" s="662">
        <f t="shared" ref="G84:G109" si="8">E84*(1-$I$12)</f>
        <v>0</v>
      </c>
      <c r="H84" s="662">
        <f t="shared" ref="H84:H109" si="9">F84+H83*$I$10</f>
        <v>392.58078995001648</v>
      </c>
      <c r="I84" s="662">
        <f t="shared" ref="I84:I109" si="10">H83*(1-$I$10)+G84</f>
        <v>67.440994142337601</v>
      </c>
      <c r="J84" s="663">
        <f t="shared" si="5"/>
        <v>49.456729037714247</v>
      </c>
    </row>
    <row r="85" spans="2:10" x14ac:dyDescent="0.25">
      <c r="B85" s="659">
        <f>Amnt_Deposited!B77</f>
        <v>2016</v>
      </c>
      <c r="C85" s="660">
        <f>Amnt_Deposited!C77</f>
        <v>787.18499999999995</v>
      </c>
      <c r="D85" s="661">
        <f>MCF!R84</f>
        <v>1</v>
      </c>
      <c r="E85" s="662">
        <f t="shared" si="7"/>
        <v>59.03887499999999</v>
      </c>
      <c r="F85" s="662">
        <f t="shared" si="6"/>
        <v>59.03887499999999</v>
      </c>
      <c r="G85" s="662">
        <f t="shared" si="8"/>
        <v>0</v>
      </c>
      <c r="H85" s="662">
        <f t="shared" si="9"/>
        <v>385.31445128551024</v>
      </c>
      <c r="I85" s="662">
        <f t="shared" si="10"/>
        <v>66.305213664506269</v>
      </c>
      <c r="J85" s="663">
        <f t="shared" ref="J85:J109" si="11">I85*CH4_fraction*conv</f>
        <v>48.623823353971268</v>
      </c>
    </row>
    <row r="86" spans="2:10" x14ac:dyDescent="0.25">
      <c r="B86" s="659">
        <f>Amnt_Deposited!B78</f>
        <v>2017</v>
      </c>
      <c r="C86" s="660">
        <f>Amnt_Deposited!C78</f>
        <v>787.18499999999995</v>
      </c>
      <c r="D86" s="661">
        <f>MCF!R85</f>
        <v>1</v>
      </c>
      <c r="E86" s="662">
        <f t="shared" ref="E86:E109" si="12">C86*$I$6*DOCF*D86</f>
        <v>59.03887499999999</v>
      </c>
      <c r="F86" s="662">
        <f t="shared" ref="F86:F109" si="13">E86*$I$12</f>
        <v>59.03887499999999</v>
      </c>
      <c r="G86" s="662">
        <f t="shared" ref="G86:G109" si="14">E86*(1-$I$12)</f>
        <v>0</v>
      </c>
      <c r="H86" s="662">
        <f t="shared" ref="H86:H109" si="15">F86+H85*$I$10</f>
        <v>379.27536609351876</v>
      </c>
      <c r="I86" s="662">
        <f t="shared" ref="I86:I109" si="16">H85*(1-$I$10)+G86</f>
        <v>65.077960191991494</v>
      </c>
      <c r="J86" s="663">
        <f t="shared" ref="J86:J109" si="17">I86*CH4_fraction*conv</f>
        <v>47.723837474127102</v>
      </c>
    </row>
    <row r="87" spans="2:10" x14ac:dyDescent="0.25">
      <c r="B87" s="659">
        <f>Amnt_Deposited!B79</f>
        <v>2018</v>
      </c>
      <c r="C87" s="660">
        <f>Amnt_Deposited!C79</f>
        <v>787.18499999999995</v>
      </c>
      <c r="D87" s="661">
        <f>MCF!R86</f>
        <v>1</v>
      </c>
      <c r="E87" s="662">
        <f t="shared" si="12"/>
        <v>59.03887499999999</v>
      </c>
      <c r="F87" s="662">
        <f t="shared" si="13"/>
        <v>59.03887499999999</v>
      </c>
      <c r="G87" s="662">
        <f t="shared" si="14"/>
        <v>0</v>
      </c>
      <c r="H87" s="662">
        <f t="shared" si="15"/>
        <v>374.25625651990663</v>
      </c>
      <c r="I87" s="662">
        <f t="shared" si="16"/>
        <v>64.057984573612075</v>
      </c>
      <c r="J87" s="663">
        <f t="shared" si="17"/>
        <v>46.97585535398219</v>
      </c>
    </row>
    <row r="88" spans="2:10" x14ac:dyDescent="0.25">
      <c r="B88" s="659">
        <f>Amnt_Deposited!B80</f>
        <v>2019</v>
      </c>
      <c r="C88" s="660">
        <f>Amnt_Deposited!C80</f>
        <v>787.18499999999995</v>
      </c>
      <c r="D88" s="661">
        <f>MCF!R87</f>
        <v>1</v>
      </c>
      <c r="E88" s="662">
        <f t="shared" si="12"/>
        <v>59.03887499999999</v>
      </c>
      <c r="F88" s="662">
        <f t="shared" si="13"/>
        <v>59.03887499999999</v>
      </c>
      <c r="G88" s="662">
        <f t="shared" si="14"/>
        <v>0</v>
      </c>
      <c r="H88" s="662">
        <f t="shared" si="15"/>
        <v>370.08485305215447</v>
      </c>
      <c r="I88" s="662">
        <f t="shared" si="16"/>
        <v>63.210278467752197</v>
      </c>
      <c r="J88" s="663">
        <f t="shared" si="17"/>
        <v>46.354204209684951</v>
      </c>
    </row>
    <row r="89" spans="2:10" x14ac:dyDescent="0.25">
      <c r="B89" s="659">
        <f>Amnt_Deposited!B81</f>
        <v>2020</v>
      </c>
      <c r="C89" s="660">
        <f>Amnt_Deposited!C81</f>
        <v>787.18499999999995</v>
      </c>
      <c r="D89" s="661">
        <f>MCF!R88</f>
        <v>1</v>
      </c>
      <c r="E89" s="662">
        <f t="shared" si="12"/>
        <v>59.03887499999999</v>
      </c>
      <c r="F89" s="662">
        <f t="shared" si="13"/>
        <v>59.03887499999999</v>
      </c>
      <c r="G89" s="662">
        <f t="shared" si="14"/>
        <v>0</v>
      </c>
      <c r="H89" s="662">
        <f t="shared" si="15"/>
        <v>366.61798176042998</v>
      </c>
      <c r="I89" s="662">
        <f t="shared" si="16"/>
        <v>62.505746291724471</v>
      </c>
      <c r="J89" s="663">
        <f t="shared" si="17"/>
        <v>45.837547280597946</v>
      </c>
    </row>
    <row r="90" spans="2:10" x14ac:dyDescent="0.25">
      <c r="B90" s="659">
        <f>Amnt_Deposited!B82</f>
        <v>2021</v>
      </c>
      <c r="C90" s="660">
        <f>Amnt_Deposited!C82</f>
        <v>787.18499999999995</v>
      </c>
      <c r="D90" s="661">
        <f>MCF!R89</f>
        <v>1</v>
      </c>
      <c r="E90" s="662">
        <f t="shared" si="12"/>
        <v>59.03887499999999</v>
      </c>
      <c r="F90" s="662">
        <f t="shared" si="13"/>
        <v>59.03887499999999</v>
      </c>
      <c r="G90" s="662">
        <f t="shared" si="14"/>
        <v>0</v>
      </c>
      <c r="H90" s="662">
        <f t="shared" si="15"/>
        <v>363.73665017831377</v>
      </c>
      <c r="I90" s="662">
        <f t="shared" si="16"/>
        <v>61.920206582116158</v>
      </c>
      <c r="J90" s="663">
        <f t="shared" si="17"/>
        <v>45.408151493551856</v>
      </c>
    </row>
    <row r="91" spans="2:10" x14ac:dyDescent="0.25">
      <c r="B91" s="659">
        <f>Amnt_Deposited!B83</f>
        <v>2022</v>
      </c>
      <c r="C91" s="660">
        <f>Amnt_Deposited!C83</f>
        <v>787.18499999999995</v>
      </c>
      <c r="D91" s="661">
        <f>MCF!R90</f>
        <v>1</v>
      </c>
      <c r="E91" s="662">
        <f t="shared" si="12"/>
        <v>59.03887499999999</v>
      </c>
      <c r="F91" s="662">
        <f t="shared" si="13"/>
        <v>59.03887499999999</v>
      </c>
      <c r="G91" s="662">
        <f t="shared" si="14"/>
        <v>0</v>
      </c>
      <c r="H91" s="662">
        <f t="shared" si="15"/>
        <v>361.34196315721863</v>
      </c>
      <c r="I91" s="662">
        <f t="shared" si="16"/>
        <v>61.433562021095156</v>
      </c>
      <c r="J91" s="663">
        <f t="shared" si="17"/>
        <v>45.051278815469779</v>
      </c>
    </row>
    <row r="92" spans="2:10" x14ac:dyDescent="0.25">
      <c r="B92" s="659">
        <f>Amnt_Deposited!B84</f>
        <v>2023</v>
      </c>
      <c r="C92" s="660">
        <f>Amnt_Deposited!C84</f>
        <v>787.18499999999995</v>
      </c>
      <c r="D92" s="661">
        <f>MCF!R91</f>
        <v>1</v>
      </c>
      <c r="E92" s="662">
        <f t="shared" si="12"/>
        <v>59.03887499999999</v>
      </c>
      <c r="F92" s="662">
        <f t="shared" si="13"/>
        <v>59.03887499999999</v>
      </c>
      <c r="G92" s="662">
        <f t="shared" si="14"/>
        <v>0</v>
      </c>
      <c r="H92" s="662">
        <f t="shared" si="15"/>
        <v>359.35172851550135</v>
      </c>
      <c r="I92" s="662">
        <f t="shared" si="16"/>
        <v>61.02910964171727</v>
      </c>
      <c r="J92" s="663">
        <f t="shared" si="17"/>
        <v>44.754680403925995</v>
      </c>
    </row>
    <row r="93" spans="2:10" x14ac:dyDescent="0.25">
      <c r="B93" s="659">
        <f>Amnt_Deposited!B85</f>
        <v>2024</v>
      </c>
      <c r="C93" s="660">
        <f>Amnt_Deposited!C85</f>
        <v>787.18499999999995</v>
      </c>
      <c r="D93" s="661">
        <f>MCF!R92</f>
        <v>1</v>
      </c>
      <c r="E93" s="662">
        <f t="shared" si="12"/>
        <v>59.03887499999999</v>
      </c>
      <c r="F93" s="662">
        <f t="shared" si="13"/>
        <v>59.03887499999999</v>
      </c>
      <c r="G93" s="662">
        <f t="shared" si="14"/>
        <v>0</v>
      </c>
      <c r="H93" s="662">
        <f t="shared" si="15"/>
        <v>357.69763597889926</v>
      </c>
      <c r="I93" s="662">
        <f t="shared" si="16"/>
        <v>60.692967536602119</v>
      </c>
      <c r="J93" s="663">
        <f t="shared" si="17"/>
        <v>44.50817619350822</v>
      </c>
    </row>
    <row r="94" spans="2:10" x14ac:dyDescent="0.25">
      <c r="B94" s="659">
        <f>Amnt_Deposited!B86</f>
        <v>2025</v>
      </c>
      <c r="C94" s="660">
        <f>Amnt_Deposited!C86</f>
        <v>787.18499999999995</v>
      </c>
      <c r="D94" s="661">
        <f>MCF!R93</f>
        <v>1</v>
      </c>
      <c r="E94" s="662">
        <f t="shared" si="12"/>
        <v>59.03887499999999</v>
      </c>
      <c r="F94" s="662">
        <f t="shared" si="13"/>
        <v>59.03887499999999</v>
      </c>
      <c r="G94" s="662">
        <f t="shared" si="14"/>
        <v>0</v>
      </c>
      <c r="H94" s="662">
        <f t="shared" si="15"/>
        <v>356.32291258584144</v>
      </c>
      <c r="I94" s="662">
        <f t="shared" si="16"/>
        <v>60.41359839305786</v>
      </c>
      <c r="J94" s="663">
        <f t="shared" si="17"/>
        <v>44.30330548824243</v>
      </c>
    </row>
    <row r="95" spans="2:10" x14ac:dyDescent="0.25">
      <c r="B95" s="659">
        <f>Amnt_Deposited!B87</f>
        <v>2026</v>
      </c>
      <c r="C95" s="660">
        <f>Amnt_Deposited!C87</f>
        <v>787.18499999999995</v>
      </c>
      <c r="D95" s="661">
        <f>MCF!R94</f>
        <v>1</v>
      </c>
      <c r="E95" s="662">
        <f t="shared" si="12"/>
        <v>59.03887499999999</v>
      </c>
      <c r="F95" s="662">
        <f t="shared" si="13"/>
        <v>59.03887499999999</v>
      </c>
      <c r="G95" s="662">
        <f t="shared" si="14"/>
        <v>0</v>
      </c>
      <c r="H95" s="662">
        <f t="shared" si="15"/>
        <v>355.18037408475925</v>
      </c>
      <c r="I95" s="662">
        <f t="shared" si="16"/>
        <v>60.181413501082119</v>
      </c>
      <c r="J95" s="663">
        <f t="shared" si="17"/>
        <v>44.133036567460223</v>
      </c>
    </row>
    <row r="96" spans="2:10" x14ac:dyDescent="0.25">
      <c r="B96" s="659">
        <f>Amnt_Deposited!B88</f>
        <v>2027</v>
      </c>
      <c r="C96" s="660">
        <f>Amnt_Deposited!C88</f>
        <v>787.18499999999995</v>
      </c>
      <c r="D96" s="661">
        <f>MCF!R95</f>
        <v>1</v>
      </c>
      <c r="E96" s="662">
        <f t="shared" si="12"/>
        <v>59.03887499999999</v>
      </c>
      <c r="F96" s="662">
        <f t="shared" si="13"/>
        <v>59.03887499999999</v>
      </c>
      <c r="G96" s="662">
        <f t="shared" si="14"/>
        <v>0</v>
      </c>
      <c r="H96" s="662">
        <f t="shared" si="15"/>
        <v>354.2308054420439</v>
      </c>
      <c r="I96" s="662">
        <f t="shared" si="16"/>
        <v>59.988443642715325</v>
      </c>
      <c r="J96" s="663">
        <f t="shared" si="17"/>
        <v>43.991525337991234</v>
      </c>
    </row>
    <row r="97" spans="2:10" x14ac:dyDescent="0.25">
      <c r="B97" s="659">
        <f>Amnt_Deposited!B89</f>
        <v>2028</v>
      </c>
      <c r="C97" s="660">
        <f>Amnt_Deposited!C89</f>
        <v>787.18499999999995</v>
      </c>
      <c r="D97" s="661">
        <f>MCF!R96</f>
        <v>1</v>
      </c>
      <c r="E97" s="662">
        <f t="shared" si="12"/>
        <v>59.03887499999999</v>
      </c>
      <c r="F97" s="662">
        <f t="shared" si="13"/>
        <v>59.03887499999999</v>
      </c>
      <c r="G97" s="662">
        <f t="shared" si="14"/>
        <v>0</v>
      </c>
      <c r="H97" s="662">
        <f t="shared" si="15"/>
        <v>353.44161487527151</v>
      </c>
      <c r="I97" s="662">
        <f t="shared" si="16"/>
        <v>59.828065566772352</v>
      </c>
      <c r="J97" s="663">
        <f t="shared" si="17"/>
        <v>43.873914748966399</v>
      </c>
    </row>
    <row r="98" spans="2:10" x14ac:dyDescent="0.25">
      <c r="B98" s="659">
        <f>Amnt_Deposited!B90</f>
        <v>2029</v>
      </c>
      <c r="C98" s="660">
        <f>Amnt_Deposited!C90</f>
        <v>787.18499999999995</v>
      </c>
      <c r="D98" s="661">
        <f>MCF!R97</f>
        <v>1</v>
      </c>
      <c r="E98" s="662">
        <f t="shared" si="12"/>
        <v>59.03887499999999</v>
      </c>
      <c r="F98" s="662">
        <f t="shared" si="13"/>
        <v>59.03887499999999</v>
      </c>
      <c r="G98" s="662">
        <f t="shared" si="14"/>
        <v>0</v>
      </c>
      <c r="H98" s="662">
        <f t="shared" si="15"/>
        <v>352.78571521445133</v>
      </c>
      <c r="I98" s="662">
        <f t="shared" si="16"/>
        <v>59.69477466082018</v>
      </c>
      <c r="J98" s="663">
        <f t="shared" si="17"/>
        <v>43.776168084601466</v>
      </c>
    </row>
    <row r="99" spans="2:10" x14ac:dyDescent="0.25">
      <c r="B99" s="659">
        <f>Amnt_Deposited!B91</f>
        <v>2030</v>
      </c>
      <c r="C99" s="660">
        <f>Amnt_Deposited!C91</f>
        <v>787.18499999999995</v>
      </c>
      <c r="D99" s="661">
        <f>MCF!R98</f>
        <v>1</v>
      </c>
      <c r="E99" s="662">
        <f t="shared" si="12"/>
        <v>59.03887499999999</v>
      </c>
      <c r="F99" s="662">
        <f t="shared" si="13"/>
        <v>59.03887499999999</v>
      </c>
      <c r="G99" s="662">
        <f t="shared" si="14"/>
        <v>0</v>
      </c>
      <c r="H99" s="662">
        <f t="shared" si="15"/>
        <v>352.24059419656646</v>
      </c>
      <c r="I99" s="662">
        <f t="shared" si="16"/>
        <v>59.583996017884807</v>
      </c>
      <c r="J99" s="663">
        <f t="shared" si="17"/>
        <v>43.694930413115529</v>
      </c>
    </row>
    <row r="100" spans="2:10" x14ac:dyDescent="0.25">
      <c r="B100" s="659">
        <f>Amnt_Deposited!B92</f>
        <v>2031</v>
      </c>
      <c r="C100" s="660">
        <f>Amnt_Deposited!C92</f>
        <v>787.18499999999995</v>
      </c>
      <c r="D100" s="661">
        <f>MCF!R99</f>
        <v>1</v>
      </c>
      <c r="E100" s="662">
        <f t="shared" si="12"/>
        <v>59.03887499999999</v>
      </c>
      <c r="F100" s="662">
        <f t="shared" si="13"/>
        <v>59.03887499999999</v>
      </c>
      <c r="G100" s="662">
        <f t="shared" si="14"/>
        <v>0</v>
      </c>
      <c r="H100" s="662">
        <f t="shared" si="15"/>
        <v>351.78754178338454</v>
      </c>
      <c r="I100" s="662">
        <f t="shared" si="16"/>
        <v>59.491927413181884</v>
      </c>
      <c r="J100" s="663">
        <f t="shared" si="17"/>
        <v>43.627413436333384</v>
      </c>
    </row>
    <row r="101" spans="2:10" x14ac:dyDescent="0.25">
      <c r="B101" s="659">
        <f>Amnt_Deposited!B93</f>
        <v>2032</v>
      </c>
      <c r="C101" s="660">
        <f>Amnt_Deposited!C93</f>
        <v>787.18499999999995</v>
      </c>
      <c r="D101" s="661">
        <f>MCF!R100</f>
        <v>1</v>
      </c>
      <c r="E101" s="662">
        <f t="shared" si="12"/>
        <v>59.03887499999999</v>
      </c>
      <c r="F101" s="662">
        <f t="shared" si="13"/>
        <v>59.03887499999999</v>
      </c>
      <c r="G101" s="662">
        <f t="shared" si="14"/>
        <v>0</v>
      </c>
      <c r="H101" s="662">
        <f t="shared" si="15"/>
        <v>351.41100798197954</v>
      </c>
      <c r="I101" s="662">
        <f t="shared" si="16"/>
        <v>59.415408801405007</v>
      </c>
      <c r="J101" s="663">
        <f t="shared" si="17"/>
        <v>43.571299787697008</v>
      </c>
    </row>
    <row r="102" spans="2:10" x14ac:dyDescent="0.25">
      <c r="B102" s="659">
        <f>Amnt_Deposited!B94</f>
        <v>2033</v>
      </c>
      <c r="C102" s="660">
        <f>Amnt_Deposited!C94</f>
        <v>787.18499999999995</v>
      </c>
      <c r="D102" s="661">
        <f>MCF!R101</f>
        <v>1</v>
      </c>
      <c r="E102" s="662">
        <f t="shared" si="12"/>
        <v>59.03887499999999</v>
      </c>
      <c r="F102" s="662">
        <f t="shared" si="13"/>
        <v>59.03887499999999</v>
      </c>
      <c r="G102" s="662">
        <f t="shared" si="14"/>
        <v>0</v>
      </c>
      <c r="H102" s="662">
        <f t="shared" si="15"/>
        <v>351.09806912661668</v>
      </c>
      <c r="I102" s="662">
        <f t="shared" si="16"/>
        <v>59.351813855362828</v>
      </c>
      <c r="J102" s="663">
        <f t="shared" si="17"/>
        <v>43.524663493932742</v>
      </c>
    </row>
    <row r="103" spans="2:10" x14ac:dyDescent="0.25">
      <c r="B103" s="659">
        <f>Amnt_Deposited!B95</f>
        <v>2034</v>
      </c>
      <c r="C103" s="660">
        <f>Amnt_Deposited!C95</f>
        <v>787.18499999999995</v>
      </c>
      <c r="D103" s="661">
        <f>MCF!R102</f>
        <v>1</v>
      </c>
      <c r="E103" s="662">
        <f t="shared" si="12"/>
        <v>59.03887499999999</v>
      </c>
      <c r="F103" s="662">
        <f t="shared" si="13"/>
        <v>59.03887499999999</v>
      </c>
      <c r="G103" s="662">
        <f t="shared" si="14"/>
        <v>0</v>
      </c>
      <c r="H103" s="662">
        <f t="shared" si="15"/>
        <v>350.83798430334082</v>
      </c>
      <c r="I103" s="662">
        <f t="shared" si="16"/>
        <v>59.298959823275815</v>
      </c>
      <c r="J103" s="663">
        <f t="shared" si="17"/>
        <v>43.485903870402268</v>
      </c>
    </row>
    <row r="104" spans="2:10" x14ac:dyDescent="0.25">
      <c r="B104" s="659">
        <f>Amnt_Deposited!B96</f>
        <v>2035</v>
      </c>
      <c r="C104" s="660">
        <f>Amnt_Deposited!C96</f>
        <v>787.18499999999995</v>
      </c>
      <c r="D104" s="661">
        <f>MCF!R103</f>
        <v>1</v>
      </c>
      <c r="E104" s="662">
        <f t="shared" si="12"/>
        <v>59.03887499999999</v>
      </c>
      <c r="F104" s="662">
        <f t="shared" si="13"/>
        <v>59.03887499999999</v>
      </c>
      <c r="G104" s="662">
        <f t="shared" si="14"/>
        <v>0</v>
      </c>
      <c r="H104" s="662">
        <f t="shared" si="15"/>
        <v>350.62182669255139</v>
      </c>
      <c r="I104" s="662">
        <f t="shared" si="16"/>
        <v>59.255032610789449</v>
      </c>
      <c r="J104" s="663">
        <f t="shared" si="17"/>
        <v>43.453690581245596</v>
      </c>
    </row>
    <row r="105" spans="2:10" x14ac:dyDescent="0.25">
      <c r="B105" s="659">
        <f>Amnt_Deposited!B97</f>
        <v>2036</v>
      </c>
      <c r="C105" s="660">
        <f>Amnt_Deposited!C97</f>
        <v>787.18499999999995</v>
      </c>
      <c r="D105" s="661">
        <f>MCF!R104</f>
        <v>1</v>
      </c>
      <c r="E105" s="662">
        <f t="shared" si="12"/>
        <v>59.03887499999999</v>
      </c>
      <c r="F105" s="662">
        <f t="shared" si="13"/>
        <v>59.03887499999999</v>
      </c>
      <c r="G105" s="662">
        <f t="shared" si="14"/>
        <v>0</v>
      </c>
      <c r="H105" s="662">
        <f t="shared" si="15"/>
        <v>350.44217717623701</v>
      </c>
      <c r="I105" s="662">
        <f t="shared" si="16"/>
        <v>59.218524516314353</v>
      </c>
      <c r="J105" s="663">
        <f t="shared" si="17"/>
        <v>43.426917978630527</v>
      </c>
    </row>
    <row r="106" spans="2:10" x14ac:dyDescent="0.25">
      <c r="B106" s="659">
        <f>Amnt_Deposited!B98</f>
        <v>2037</v>
      </c>
      <c r="C106" s="660">
        <f>Amnt_Deposited!C98</f>
        <v>787.18499999999995</v>
      </c>
      <c r="D106" s="661">
        <f>MCF!R105</f>
        <v>1</v>
      </c>
      <c r="E106" s="662">
        <f t="shared" si="12"/>
        <v>59.03887499999999</v>
      </c>
      <c r="F106" s="662">
        <f t="shared" si="13"/>
        <v>59.03887499999999</v>
      </c>
      <c r="G106" s="662">
        <f t="shared" si="14"/>
        <v>0</v>
      </c>
      <c r="H106" s="662">
        <f t="shared" si="15"/>
        <v>350.29286969363613</v>
      </c>
      <c r="I106" s="662">
        <f t="shared" si="16"/>
        <v>59.188182482600816</v>
      </c>
      <c r="J106" s="663">
        <f t="shared" si="17"/>
        <v>43.404667153907269</v>
      </c>
    </row>
    <row r="107" spans="2:10" x14ac:dyDescent="0.25">
      <c r="B107" s="659">
        <f>Amnt_Deposited!B99</f>
        <v>2038</v>
      </c>
      <c r="C107" s="660">
        <f>Amnt_Deposited!C99</f>
        <v>787.18499999999995</v>
      </c>
      <c r="D107" s="661">
        <f>MCF!R106</f>
        <v>1</v>
      </c>
      <c r="E107" s="662">
        <f t="shared" si="12"/>
        <v>59.03887499999999</v>
      </c>
      <c r="F107" s="662">
        <f t="shared" si="13"/>
        <v>59.03887499999999</v>
      </c>
      <c r="G107" s="662">
        <f t="shared" si="14"/>
        <v>0</v>
      </c>
      <c r="H107" s="662">
        <f t="shared" si="15"/>
        <v>350.16877960523539</v>
      </c>
      <c r="I107" s="662">
        <f t="shared" si="16"/>
        <v>59.162965088400711</v>
      </c>
      <c r="J107" s="663">
        <f t="shared" si="17"/>
        <v>43.38617439816052</v>
      </c>
    </row>
    <row r="108" spans="2:10" x14ac:dyDescent="0.25">
      <c r="B108" s="659">
        <f>Amnt_Deposited!B100</f>
        <v>2039</v>
      </c>
      <c r="C108" s="660">
        <f>Amnt_Deposited!C100</f>
        <v>787.18499999999995</v>
      </c>
      <c r="D108" s="661">
        <f>MCF!R107</f>
        <v>1</v>
      </c>
      <c r="E108" s="662">
        <f t="shared" si="12"/>
        <v>59.03887499999999</v>
      </c>
      <c r="F108" s="662">
        <f t="shared" si="13"/>
        <v>59.03887499999999</v>
      </c>
      <c r="G108" s="662">
        <f t="shared" si="14"/>
        <v>0</v>
      </c>
      <c r="H108" s="662">
        <f t="shared" si="15"/>
        <v>350.06564780118197</v>
      </c>
      <c r="I108" s="662">
        <f t="shared" si="16"/>
        <v>59.142006804053409</v>
      </c>
      <c r="J108" s="663">
        <f t="shared" si="17"/>
        <v>43.370804989639169</v>
      </c>
    </row>
    <row r="109" spans="2:10" ht="15.75" thickBot="1" x14ac:dyDescent="0.3">
      <c r="B109" s="664">
        <f>Amnt_Deposited!B101</f>
        <v>2040</v>
      </c>
      <c r="C109" s="665">
        <f>Amnt_Deposited!C101</f>
        <v>787.18499999999995</v>
      </c>
      <c r="D109" s="666">
        <f>MCF!R108</f>
        <v>1</v>
      </c>
      <c r="E109" s="667">
        <f t="shared" si="12"/>
        <v>59.03887499999999</v>
      </c>
      <c r="F109" s="667">
        <f t="shared" si="13"/>
        <v>59.03887499999999</v>
      </c>
      <c r="G109" s="667">
        <f t="shared" si="14"/>
        <v>0</v>
      </c>
      <c r="H109" s="667">
        <f t="shared" si="15"/>
        <v>349.97993451703178</v>
      </c>
      <c r="I109" s="667">
        <f t="shared" si="16"/>
        <v>59.124588284150185</v>
      </c>
      <c r="J109" s="668">
        <f t="shared" si="17"/>
        <v>43.358031408376803</v>
      </c>
    </row>
  </sheetData>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3"/>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140625" style="281" customWidth="1"/>
    <col min="9" max="9" width="12"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140625" style="44" customWidth="1"/>
    <col min="265" max="265" width="12"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140625" style="44" customWidth="1"/>
    <col min="521" max="521" width="12"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140625" style="44" customWidth="1"/>
    <col min="777" max="777" width="12"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140625" style="44" customWidth="1"/>
    <col min="1033" max="1033" width="12"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140625" style="44" customWidth="1"/>
    <col min="1289" max="1289" width="12"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140625" style="44" customWidth="1"/>
    <col min="1545" max="1545" width="12"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140625" style="44" customWidth="1"/>
    <col min="1801" max="1801" width="12"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140625" style="44" customWidth="1"/>
    <col min="2057" max="2057" width="12"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140625" style="44" customWidth="1"/>
    <col min="2313" max="2313" width="12"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140625" style="44" customWidth="1"/>
    <col min="2569" max="2569" width="12"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140625" style="44" customWidth="1"/>
    <col min="2825" max="2825" width="12"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140625" style="44" customWidth="1"/>
    <col min="3081" max="3081" width="12"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140625" style="44" customWidth="1"/>
    <col min="3337" max="3337" width="12"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140625" style="44" customWidth="1"/>
    <col min="3593" max="3593" width="12"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140625" style="44" customWidth="1"/>
    <col min="3849" max="3849" width="12"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140625" style="44" customWidth="1"/>
    <col min="4105" max="4105" width="12"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140625" style="44" customWidth="1"/>
    <col min="4361" max="4361" width="12"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140625" style="44" customWidth="1"/>
    <col min="4617" max="4617" width="12"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140625" style="44" customWidth="1"/>
    <col min="4873" max="4873" width="12"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140625" style="44" customWidth="1"/>
    <col min="5129" max="5129" width="12"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140625" style="44" customWidth="1"/>
    <col min="5385" max="5385" width="12"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140625" style="44" customWidth="1"/>
    <col min="5641" max="5641" width="12"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140625" style="44" customWidth="1"/>
    <col min="5897" max="5897" width="12"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140625" style="44" customWidth="1"/>
    <col min="6153" max="6153" width="12"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140625" style="44" customWidth="1"/>
    <col min="6409" max="6409" width="12"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140625" style="44" customWidth="1"/>
    <col min="6665" max="6665" width="12"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140625" style="44" customWidth="1"/>
    <col min="6921" max="6921" width="12"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140625" style="44" customWidth="1"/>
    <col min="7177" max="7177" width="12"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140625" style="44" customWidth="1"/>
    <col min="7433" max="7433" width="12"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140625" style="44" customWidth="1"/>
    <col min="7689" max="7689" width="12"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140625" style="44" customWidth="1"/>
    <col min="7945" max="7945" width="12"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140625" style="44" customWidth="1"/>
    <col min="8201" max="8201" width="12"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140625" style="44" customWidth="1"/>
    <col min="8457" max="8457" width="12"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140625" style="44" customWidth="1"/>
    <col min="8713" max="8713" width="12"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140625" style="44" customWidth="1"/>
    <col min="8969" max="8969" width="12"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140625" style="44" customWidth="1"/>
    <col min="9225" max="9225" width="12"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140625" style="44" customWidth="1"/>
    <col min="9481" max="9481" width="12"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140625" style="44" customWidth="1"/>
    <col min="9737" max="9737" width="12"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140625" style="44" customWidth="1"/>
    <col min="9993" max="9993" width="12"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140625" style="44" customWidth="1"/>
    <col min="10249" max="10249" width="12"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140625" style="44" customWidth="1"/>
    <col min="10505" max="10505" width="12"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140625" style="44" customWidth="1"/>
    <col min="10761" max="10761" width="12"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140625" style="44" customWidth="1"/>
    <col min="11017" max="11017" width="12"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140625" style="44" customWidth="1"/>
    <col min="11273" max="11273" width="12"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140625" style="44" customWidth="1"/>
    <col min="11529" max="11529" width="12"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140625" style="44" customWidth="1"/>
    <col min="11785" max="11785" width="12"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140625" style="44" customWidth="1"/>
    <col min="12041" max="12041" width="12"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140625" style="44" customWidth="1"/>
    <col min="12297" max="12297" width="12"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140625" style="44" customWidth="1"/>
    <col min="12553" max="12553" width="12"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140625" style="44" customWidth="1"/>
    <col min="12809" max="12809" width="12"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140625" style="44" customWidth="1"/>
    <col min="13065" max="13065" width="12"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140625" style="44" customWidth="1"/>
    <col min="13321" max="13321" width="12"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140625" style="44" customWidth="1"/>
    <col min="13577" max="13577" width="12"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140625" style="44" customWidth="1"/>
    <col min="13833" max="13833" width="12"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140625" style="44" customWidth="1"/>
    <col min="14089" max="14089" width="12"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140625" style="44" customWidth="1"/>
    <col min="14345" max="14345" width="12"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140625" style="44" customWidth="1"/>
    <col min="14601" max="14601" width="12"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140625" style="44" customWidth="1"/>
    <col min="14857" max="14857" width="12"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140625" style="44" customWidth="1"/>
    <col min="15113" max="15113" width="12"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140625" style="44" customWidth="1"/>
    <col min="15369" max="15369" width="12"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140625" style="44" customWidth="1"/>
    <col min="15625" max="15625" width="12"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140625" style="44" customWidth="1"/>
    <col min="15881" max="15881" width="12"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140625" style="44" customWidth="1"/>
    <col min="16137" max="16137" width="12" style="44" customWidth="1"/>
    <col min="16138" max="16138" width="10.28515625" style="44" customWidth="1"/>
    <col min="16139" max="16384" width="9.140625" style="44"/>
  </cols>
  <sheetData>
    <row r="2" spans="1:10" ht="15.75" x14ac:dyDescent="0.25">
      <c r="B2" s="669" t="s">
        <v>284</v>
      </c>
      <c r="C2" s="585"/>
      <c r="D2" s="586"/>
      <c r="E2" s="587"/>
      <c r="F2" s="587"/>
      <c r="G2" s="587"/>
      <c r="H2" s="587"/>
      <c r="I2" s="587"/>
      <c r="J2" s="587"/>
    </row>
    <row r="3" spans="1:10" ht="15.75" x14ac:dyDescent="0.25">
      <c r="B3" s="588" t="str">
        <f>IF(Select2=2,"Having chosen the bulk waste option, this sheet applies only to Harvested Wood Products calculations","")</f>
        <v/>
      </c>
      <c r="C3" s="585"/>
      <c r="D3" s="586"/>
      <c r="E3" s="587"/>
      <c r="F3" s="587"/>
      <c r="G3" s="587"/>
      <c r="H3" s="587"/>
      <c r="I3" s="587"/>
      <c r="J3" s="587"/>
    </row>
    <row r="4" spans="1:10" ht="16.5" thickBot="1" x14ac:dyDescent="0.3">
      <c r="B4" s="589"/>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Parameters!M14</f>
        <v>0.2</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Parameters!M28</f>
        <v>0.1</v>
      </c>
      <c r="J8" s="609"/>
    </row>
    <row r="9" spans="1:10" ht="15.75" x14ac:dyDescent="0.3">
      <c r="D9" s="610" t="s">
        <v>260</v>
      </c>
      <c r="E9" s="611"/>
      <c r="F9" s="611"/>
      <c r="G9" s="612"/>
      <c r="H9" s="613" t="s">
        <v>261</v>
      </c>
      <c r="I9" s="614">
        <f>LN(2)/$I$8</f>
        <v>6.9314718055994522</v>
      </c>
      <c r="J9" s="609"/>
    </row>
    <row r="10" spans="1:10" x14ac:dyDescent="0.25">
      <c r="D10" s="615" t="s">
        <v>262</v>
      </c>
      <c r="E10" s="616"/>
      <c r="F10" s="616"/>
      <c r="G10" s="617"/>
      <c r="H10" s="618" t="s">
        <v>263</v>
      </c>
      <c r="I10" s="619">
        <f>EXP(-$I$8)</f>
        <v>0.90483741803595952</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48"/>
      <c r="D18" s="649"/>
      <c r="E18" s="650"/>
      <c r="F18" s="651"/>
      <c r="G18" s="651"/>
      <c r="H18" s="651"/>
      <c r="I18" s="651"/>
      <c r="J18" s="652"/>
    </row>
    <row r="19" spans="2:10" x14ac:dyDescent="0.25">
      <c r="B19" s="653">
        <f>Amnt_Deposited!B11</f>
        <v>1950</v>
      </c>
      <c r="C19" s="654">
        <f>Amnt_Deposited!D11</f>
        <v>0</v>
      </c>
      <c r="D19" s="655">
        <f>MCF!R18</f>
        <v>0.6</v>
      </c>
      <c r="E19" s="656">
        <f>C19*$I$6*DOCF*D19</f>
        <v>0</v>
      </c>
      <c r="F19" s="657">
        <f t="shared" ref="F19:F82" si="0">E19*$I$12</f>
        <v>0</v>
      </c>
      <c r="G19" s="657">
        <f>E19*(1-$I$12)</f>
        <v>0</v>
      </c>
      <c r="H19" s="657">
        <f>F19+H18*$I$10</f>
        <v>0</v>
      </c>
      <c r="I19" s="657">
        <f>H18*(1-$I$10)+G19</f>
        <v>0</v>
      </c>
      <c r="J19" s="658">
        <f>I19*CH4_fraction*conv</f>
        <v>0</v>
      </c>
    </row>
    <row r="20" spans="2:10" x14ac:dyDescent="0.25">
      <c r="B20" s="659">
        <f>Amnt_Deposited!B12</f>
        <v>1951</v>
      </c>
      <c r="C20" s="660">
        <f>Amnt_Deposited!D12</f>
        <v>0</v>
      </c>
      <c r="D20" s="661">
        <f>MCF!R19</f>
        <v>0.6</v>
      </c>
      <c r="E20" s="662">
        <f t="shared" ref="E20:E83" si="1">C20*$I$6*DOCF*D20</f>
        <v>0</v>
      </c>
      <c r="F20" s="662">
        <f t="shared" si="0"/>
        <v>0</v>
      </c>
      <c r="G20" s="662">
        <f t="shared" ref="G20:G83" si="2">E20*(1-$I$12)</f>
        <v>0</v>
      </c>
      <c r="H20" s="662">
        <f t="shared" ref="H20:H83" si="3">F20+H19*$I$10</f>
        <v>0</v>
      </c>
      <c r="I20" s="662">
        <f t="shared" ref="I20:I83" si="4">H19*(1-$I$10)+G20</f>
        <v>0</v>
      </c>
      <c r="J20" s="663">
        <f>I20*CH4_fraction*conv</f>
        <v>0</v>
      </c>
    </row>
    <row r="21" spans="2:10" x14ac:dyDescent="0.25">
      <c r="B21" s="659">
        <f>Amnt_Deposited!B13</f>
        <v>1952</v>
      </c>
      <c r="C21" s="660">
        <f>Amnt_Deposited!D13</f>
        <v>0</v>
      </c>
      <c r="D21" s="661">
        <f>MCF!R20</f>
        <v>0.6</v>
      </c>
      <c r="E21" s="662">
        <f t="shared" si="1"/>
        <v>0</v>
      </c>
      <c r="F21" s="662">
        <f t="shared" si="0"/>
        <v>0</v>
      </c>
      <c r="G21" s="662">
        <f t="shared" si="2"/>
        <v>0</v>
      </c>
      <c r="H21" s="662">
        <f t="shared" si="3"/>
        <v>0</v>
      </c>
      <c r="I21" s="662">
        <f t="shared" si="4"/>
        <v>0</v>
      </c>
      <c r="J21" s="663">
        <f t="shared" ref="J21:J84" si="5">I21*CH4_fraction*conv</f>
        <v>0</v>
      </c>
    </row>
    <row r="22" spans="2:10" x14ac:dyDescent="0.25">
      <c r="B22" s="659">
        <f>Amnt_Deposited!B14</f>
        <v>1953</v>
      </c>
      <c r="C22" s="660">
        <f>Amnt_Deposited!D14</f>
        <v>0</v>
      </c>
      <c r="D22" s="661">
        <f>MCF!R21</f>
        <v>0.6</v>
      </c>
      <c r="E22" s="662">
        <f t="shared" si="1"/>
        <v>0</v>
      </c>
      <c r="F22" s="662">
        <f t="shared" si="0"/>
        <v>0</v>
      </c>
      <c r="G22" s="662">
        <f t="shared" si="2"/>
        <v>0</v>
      </c>
      <c r="H22" s="662">
        <f t="shared" si="3"/>
        <v>0</v>
      </c>
      <c r="I22" s="662">
        <f t="shared" si="4"/>
        <v>0</v>
      </c>
      <c r="J22" s="663">
        <f t="shared" si="5"/>
        <v>0</v>
      </c>
    </row>
    <row r="23" spans="2:10" x14ac:dyDescent="0.25">
      <c r="B23" s="659">
        <f>Amnt_Deposited!B15</f>
        <v>1954</v>
      </c>
      <c r="C23" s="660">
        <f>Amnt_Deposited!D15</f>
        <v>0</v>
      </c>
      <c r="D23" s="661">
        <f>MCF!R22</f>
        <v>0.6</v>
      </c>
      <c r="E23" s="662">
        <f t="shared" si="1"/>
        <v>0</v>
      </c>
      <c r="F23" s="662">
        <f t="shared" si="0"/>
        <v>0</v>
      </c>
      <c r="G23" s="662">
        <f t="shared" si="2"/>
        <v>0</v>
      </c>
      <c r="H23" s="662">
        <f t="shared" si="3"/>
        <v>0</v>
      </c>
      <c r="I23" s="662">
        <f t="shared" si="4"/>
        <v>0</v>
      </c>
      <c r="J23" s="663">
        <f t="shared" si="5"/>
        <v>0</v>
      </c>
    </row>
    <row r="24" spans="2:10" x14ac:dyDescent="0.25">
      <c r="B24" s="659">
        <f>Amnt_Deposited!B16</f>
        <v>1955</v>
      </c>
      <c r="C24" s="660">
        <f>Amnt_Deposited!D16</f>
        <v>0</v>
      </c>
      <c r="D24" s="661">
        <f>MCF!R23</f>
        <v>0.6</v>
      </c>
      <c r="E24" s="662">
        <f t="shared" si="1"/>
        <v>0</v>
      </c>
      <c r="F24" s="662">
        <f t="shared" si="0"/>
        <v>0</v>
      </c>
      <c r="G24" s="662">
        <f t="shared" si="2"/>
        <v>0</v>
      </c>
      <c r="H24" s="662">
        <f t="shared" si="3"/>
        <v>0</v>
      </c>
      <c r="I24" s="662">
        <f t="shared" si="4"/>
        <v>0</v>
      </c>
      <c r="J24" s="663">
        <f t="shared" si="5"/>
        <v>0</v>
      </c>
    </row>
    <row r="25" spans="2:10" x14ac:dyDescent="0.25">
      <c r="B25" s="659">
        <f>Amnt_Deposited!B17</f>
        <v>1956</v>
      </c>
      <c r="C25" s="660">
        <f>Amnt_Deposited!D17</f>
        <v>0</v>
      </c>
      <c r="D25" s="661">
        <f>MCF!R24</f>
        <v>0.6</v>
      </c>
      <c r="E25" s="662">
        <f t="shared" si="1"/>
        <v>0</v>
      </c>
      <c r="F25" s="662">
        <f t="shared" si="0"/>
        <v>0</v>
      </c>
      <c r="G25" s="662">
        <f t="shared" si="2"/>
        <v>0</v>
      </c>
      <c r="H25" s="662">
        <f t="shared" si="3"/>
        <v>0</v>
      </c>
      <c r="I25" s="662">
        <f t="shared" si="4"/>
        <v>0</v>
      </c>
      <c r="J25" s="663">
        <f t="shared" si="5"/>
        <v>0</v>
      </c>
    </row>
    <row r="26" spans="2:10" x14ac:dyDescent="0.25">
      <c r="B26" s="659">
        <f>Amnt_Deposited!B18</f>
        <v>1957</v>
      </c>
      <c r="C26" s="660">
        <f>Amnt_Deposited!D18</f>
        <v>0</v>
      </c>
      <c r="D26" s="661">
        <f>MCF!R25</f>
        <v>0.6</v>
      </c>
      <c r="E26" s="662">
        <f t="shared" si="1"/>
        <v>0</v>
      </c>
      <c r="F26" s="662">
        <f t="shared" si="0"/>
        <v>0</v>
      </c>
      <c r="G26" s="662">
        <f t="shared" si="2"/>
        <v>0</v>
      </c>
      <c r="H26" s="662">
        <f t="shared" si="3"/>
        <v>0</v>
      </c>
      <c r="I26" s="662">
        <f t="shared" si="4"/>
        <v>0</v>
      </c>
      <c r="J26" s="663">
        <f t="shared" si="5"/>
        <v>0</v>
      </c>
    </row>
    <row r="27" spans="2:10" x14ac:dyDescent="0.25">
      <c r="B27" s="659">
        <f>Amnt_Deposited!B19</f>
        <v>1958</v>
      </c>
      <c r="C27" s="660">
        <f>Amnt_Deposited!D19</f>
        <v>0</v>
      </c>
      <c r="D27" s="661">
        <f>MCF!R26</f>
        <v>0.6</v>
      </c>
      <c r="E27" s="662">
        <f t="shared" si="1"/>
        <v>0</v>
      </c>
      <c r="F27" s="662">
        <f t="shared" si="0"/>
        <v>0</v>
      </c>
      <c r="G27" s="662">
        <f t="shared" si="2"/>
        <v>0</v>
      </c>
      <c r="H27" s="662">
        <f t="shared" si="3"/>
        <v>0</v>
      </c>
      <c r="I27" s="662">
        <f t="shared" si="4"/>
        <v>0</v>
      </c>
      <c r="J27" s="663">
        <f t="shared" si="5"/>
        <v>0</v>
      </c>
    </row>
    <row r="28" spans="2:10" x14ac:dyDescent="0.25">
      <c r="B28" s="659">
        <f>Amnt_Deposited!B20</f>
        <v>1959</v>
      </c>
      <c r="C28" s="660">
        <f>Amnt_Deposited!D20</f>
        <v>0</v>
      </c>
      <c r="D28" s="661">
        <f>MCF!R27</f>
        <v>0.6</v>
      </c>
      <c r="E28" s="662">
        <f t="shared" si="1"/>
        <v>0</v>
      </c>
      <c r="F28" s="662">
        <f t="shared" si="0"/>
        <v>0</v>
      </c>
      <c r="G28" s="662">
        <f t="shared" si="2"/>
        <v>0</v>
      </c>
      <c r="H28" s="662">
        <f t="shared" si="3"/>
        <v>0</v>
      </c>
      <c r="I28" s="662">
        <f t="shared" si="4"/>
        <v>0</v>
      </c>
      <c r="J28" s="663">
        <f t="shared" si="5"/>
        <v>0</v>
      </c>
    </row>
    <row r="29" spans="2:10" x14ac:dyDescent="0.25">
      <c r="B29" s="659">
        <f>Amnt_Deposited!B21</f>
        <v>1960</v>
      </c>
      <c r="C29" s="660">
        <f>Amnt_Deposited!D21</f>
        <v>0</v>
      </c>
      <c r="D29" s="661">
        <f>MCF!R28</f>
        <v>0.6</v>
      </c>
      <c r="E29" s="662">
        <f t="shared" si="1"/>
        <v>0</v>
      </c>
      <c r="F29" s="662">
        <f t="shared" si="0"/>
        <v>0</v>
      </c>
      <c r="G29" s="662">
        <f t="shared" si="2"/>
        <v>0</v>
      </c>
      <c r="H29" s="662">
        <f t="shared" si="3"/>
        <v>0</v>
      </c>
      <c r="I29" s="662">
        <f t="shared" si="4"/>
        <v>0</v>
      </c>
      <c r="J29" s="663">
        <f t="shared" si="5"/>
        <v>0</v>
      </c>
    </row>
    <row r="30" spans="2:10" x14ac:dyDescent="0.25">
      <c r="B30" s="659">
        <f>Amnt_Deposited!B22</f>
        <v>1961</v>
      </c>
      <c r="C30" s="660">
        <f>Amnt_Deposited!D22</f>
        <v>0</v>
      </c>
      <c r="D30" s="661">
        <f>MCF!R29</f>
        <v>0.6</v>
      </c>
      <c r="E30" s="662">
        <f t="shared" si="1"/>
        <v>0</v>
      </c>
      <c r="F30" s="662">
        <f t="shared" si="0"/>
        <v>0</v>
      </c>
      <c r="G30" s="662">
        <f t="shared" si="2"/>
        <v>0</v>
      </c>
      <c r="H30" s="662">
        <f t="shared" si="3"/>
        <v>0</v>
      </c>
      <c r="I30" s="662">
        <f t="shared" si="4"/>
        <v>0</v>
      </c>
      <c r="J30" s="663">
        <f t="shared" si="5"/>
        <v>0</v>
      </c>
    </row>
    <row r="31" spans="2:10" x14ac:dyDescent="0.25">
      <c r="B31" s="659">
        <f>Amnt_Deposited!B23</f>
        <v>1962</v>
      </c>
      <c r="C31" s="660">
        <f>Amnt_Deposited!D23</f>
        <v>0</v>
      </c>
      <c r="D31" s="661">
        <f>MCF!R30</f>
        <v>0.6</v>
      </c>
      <c r="E31" s="662">
        <f t="shared" si="1"/>
        <v>0</v>
      </c>
      <c r="F31" s="662">
        <f t="shared" si="0"/>
        <v>0</v>
      </c>
      <c r="G31" s="662">
        <f t="shared" si="2"/>
        <v>0</v>
      </c>
      <c r="H31" s="662">
        <f t="shared" si="3"/>
        <v>0</v>
      </c>
      <c r="I31" s="662">
        <f t="shared" si="4"/>
        <v>0</v>
      </c>
      <c r="J31" s="663">
        <f t="shared" si="5"/>
        <v>0</v>
      </c>
    </row>
    <row r="32" spans="2:10" x14ac:dyDescent="0.25">
      <c r="B32" s="659">
        <f>Amnt_Deposited!B24</f>
        <v>1963</v>
      </c>
      <c r="C32" s="660">
        <f>Amnt_Deposited!D24</f>
        <v>0</v>
      </c>
      <c r="D32" s="661">
        <f>MCF!R31</f>
        <v>0.6</v>
      </c>
      <c r="E32" s="662">
        <f t="shared" si="1"/>
        <v>0</v>
      </c>
      <c r="F32" s="662">
        <f t="shared" si="0"/>
        <v>0</v>
      </c>
      <c r="G32" s="662">
        <f t="shared" si="2"/>
        <v>0</v>
      </c>
      <c r="H32" s="662">
        <f t="shared" si="3"/>
        <v>0</v>
      </c>
      <c r="I32" s="662">
        <f t="shared" si="4"/>
        <v>0</v>
      </c>
      <c r="J32" s="663">
        <f t="shared" si="5"/>
        <v>0</v>
      </c>
    </row>
    <row r="33" spans="2:10" x14ac:dyDescent="0.25">
      <c r="B33" s="659">
        <f>Amnt_Deposited!B25</f>
        <v>1964</v>
      </c>
      <c r="C33" s="660">
        <f>Amnt_Deposited!D25</f>
        <v>0</v>
      </c>
      <c r="D33" s="661">
        <f>MCF!R32</f>
        <v>0.6</v>
      </c>
      <c r="E33" s="662">
        <f t="shared" si="1"/>
        <v>0</v>
      </c>
      <c r="F33" s="662">
        <f t="shared" si="0"/>
        <v>0</v>
      </c>
      <c r="G33" s="662">
        <f t="shared" si="2"/>
        <v>0</v>
      </c>
      <c r="H33" s="662">
        <f t="shared" si="3"/>
        <v>0</v>
      </c>
      <c r="I33" s="662">
        <f t="shared" si="4"/>
        <v>0</v>
      </c>
      <c r="J33" s="663">
        <f t="shared" si="5"/>
        <v>0</v>
      </c>
    </row>
    <row r="34" spans="2:10" x14ac:dyDescent="0.25">
      <c r="B34" s="659">
        <f>Amnt_Deposited!B26</f>
        <v>1965</v>
      </c>
      <c r="C34" s="660">
        <f>Amnt_Deposited!D26</f>
        <v>0</v>
      </c>
      <c r="D34" s="661">
        <f>MCF!R33</f>
        <v>0.6</v>
      </c>
      <c r="E34" s="662">
        <f t="shared" si="1"/>
        <v>0</v>
      </c>
      <c r="F34" s="662">
        <f t="shared" si="0"/>
        <v>0</v>
      </c>
      <c r="G34" s="662">
        <f t="shared" si="2"/>
        <v>0</v>
      </c>
      <c r="H34" s="662">
        <f t="shared" si="3"/>
        <v>0</v>
      </c>
      <c r="I34" s="662">
        <f t="shared" si="4"/>
        <v>0</v>
      </c>
      <c r="J34" s="663">
        <f t="shared" si="5"/>
        <v>0</v>
      </c>
    </row>
    <row r="35" spans="2:10" x14ac:dyDescent="0.25">
      <c r="B35" s="659">
        <f>Amnt_Deposited!B27</f>
        <v>1966</v>
      </c>
      <c r="C35" s="660">
        <f>Amnt_Deposited!D27</f>
        <v>0</v>
      </c>
      <c r="D35" s="661">
        <f>MCF!R34</f>
        <v>0.6</v>
      </c>
      <c r="E35" s="662">
        <f t="shared" si="1"/>
        <v>0</v>
      </c>
      <c r="F35" s="662">
        <f t="shared" si="0"/>
        <v>0</v>
      </c>
      <c r="G35" s="662">
        <f t="shared" si="2"/>
        <v>0</v>
      </c>
      <c r="H35" s="662">
        <f t="shared" si="3"/>
        <v>0</v>
      </c>
      <c r="I35" s="662">
        <f t="shared" si="4"/>
        <v>0</v>
      </c>
      <c r="J35" s="663">
        <f t="shared" si="5"/>
        <v>0</v>
      </c>
    </row>
    <row r="36" spans="2:10" x14ac:dyDescent="0.25">
      <c r="B36" s="659">
        <f>Amnt_Deposited!B28</f>
        <v>1967</v>
      </c>
      <c r="C36" s="660">
        <f>Amnt_Deposited!D28</f>
        <v>0</v>
      </c>
      <c r="D36" s="661">
        <f>MCF!R35</f>
        <v>0.6</v>
      </c>
      <c r="E36" s="662">
        <f t="shared" si="1"/>
        <v>0</v>
      </c>
      <c r="F36" s="662">
        <f t="shared" si="0"/>
        <v>0</v>
      </c>
      <c r="G36" s="662">
        <f t="shared" si="2"/>
        <v>0</v>
      </c>
      <c r="H36" s="662">
        <f t="shared" si="3"/>
        <v>0</v>
      </c>
      <c r="I36" s="662">
        <f t="shared" si="4"/>
        <v>0</v>
      </c>
      <c r="J36" s="663">
        <f t="shared" si="5"/>
        <v>0</v>
      </c>
    </row>
    <row r="37" spans="2:10" x14ac:dyDescent="0.25">
      <c r="B37" s="659">
        <f>Amnt_Deposited!B29</f>
        <v>1968</v>
      </c>
      <c r="C37" s="660">
        <f>Amnt_Deposited!D29</f>
        <v>0</v>
      </c>
      <c r="D37" s="661">
        <f>MCF!R36</f>
        <v>0.6</v>
      </c>
      <c r="E37" s="662">
        <f t="shared" si="1"/>
        <v>0</v>
      </c>
      <c r="F37" s="662">
        <f t="shared" si="0"/>
        <v>0</v>
      </c>
      <c r="G37" s="662">
        <f t="shared" si="2"/>
        <v>0</v>
      </c>
      <c r="H37" s="662">
        <f t="shared" si="3"/>
        <v>0</v>
      </c>
      <c r="I37" s="662">
        <f t="shared" si="4"/>
        <v>0</v>
      </c>
      <c r="J37" s="663">
        <f t="shared" si="5"/>
        <v>0</v>
      </c>
    </row>
    <row r="38" spans="2:10" x14ac:dyDescent="0.25">
      <c r="B38" s="659">
        <f>Amnt_Deposited!B30</f>
        <v>1969</v>
      </c>
      <c r="C38" s="660">
        <f>Amnt_Deposited!D30</f>
        <v>0</v>
      </c>
      <c r="D38" s="661">
        <f>MCF!R37</f>
        <v>0.6</v>
      </c>
      <c r="E38" s="662">
        <f t="shared" si="1"/>
        <v>0</v>
      </c>
      <c r="F38" s="662">
        <f t="shared" si="0"/>
        <v>0</v>
      </c>
      <c r="G38" s="662">
        <f t="shared" si="2"/>
        <v>0</v>
      </c>
      <c r="H38" s="662">
        <f t="shared" si="3"/>
        <v>0</v>
      </c>
      <c r="I38" s="662">
        <f t="shared" si="4"/>
        <v>0</v>
      </c>
      <c r="J38" s="663">
        <f t="shared" si="5"/>
        <v>0</v>
      </c>
    </row>
    <row r="39" spans="2:10" x14ac:dyDescent="0.25">
      <c r="B39" s="659">
        <f>Amnt_Deposited!B31</f>
        <v>1970</v>
      </c>
      <c r="C39" s="660">
        <f>Amnt_Deposited!D31</f>
        <v>0</v>
      </c>
      <c r="D39" s="661">
        <f>MCF!R38</f>
        <v>0.8</v>
      </c>
      <c r="E39" s="662">
        <f t="shared" si="1"/>
        <v>0</v>
      </c>
      <c r="F39" s="662">
        <f t="shared" si="0"/>
        <v>0</v>
      </c>
      <c r="G39" s="662">
        <f t="shared" si="2"/>
        <v>0</v>
      </c>
      <c r="H39" s="662">
        <f t="shared" si="3"/>
        <v>0</v>
      </c>
      <c r="I39" s="662">
        <f t="shared" si="4"/>
        <v>0</v>
      </c>
      <c r="J39" s="663">
        <f t="shared" si="5"/>
        <v>0</v>
      </c>
    </row>
    <row r="40" spans="2:10" x14ac:dyDescent="0.25">
      <c r="B40" s="659">
        <f>Amnt_Deposited!B32</f>
        <v>1971</v>
      </c>
      <c r="C40" s="660">
        <f>Amnt_Deposited!D32</f>
        <v>0</v>
      </c>
      <c r="D40" s="661">
        <f>MCF!R39</f>
        <v>0.8</v>
      </c>
      <c r="E40" s="662">
        <f t="shared" si="1"/>
        <v>0</v>
      </c>
      <c r="F40" s="662">
        <f t="shared" si="0"/>
        <v>0</v>
      </c>
      <c r="G40" s="662">
        <f t="shared" si="2"/>
        <v>0</v>
      </c>
      <c r="H40" s="662">
        <f t="shared" si="3"/>
        <v>0</v>
      </c>
      <c r="I40" s="662">
        <f t="shared" si="4"/>
        <v>0</v>
      </c>
      <c r="J40" s="663">
        <f t="shared" si="5"/>
        <v>0</v>
      </c>
    </row>
    <row r="41" spans="2:10" x14ac:dyDescent="0.25">
      <c r="B41" s="659">
        <f>Amnt_Deposited!B33</f>
        <v>1972</v>
      </c>
      <c r="C41" s="660">
        <f>Amnt_Deposited!D33</f>
        <v>0</v>
      </c>
      <c r="D41" s="661">
        <f>MCF!R40</f>
        <v>0.8</v>
      </c>
      <c r="E41" s="662">
        <f t="shared" si="1"/>
        <v>0</v>
      </c>
      <c r="F41" s="662">
        <f t="shared" si="0"/>
        <v>0</v>
      </c>
      <c r="G41" s="662">
        <f t="shared" si="2"/>
        <v>0</v>
      </c>
      <c r="H41" s="662">
        <f t="shared" si="3"/>
        <v>0</v>
      </c>
      <c r="I41" s="662">
        <f t="shared" si="4"/>
        <v>0</v>
      </c>
      <c r="J41" s="663">
        <f t="shared" si="5"/>
        <v>0</v>
      </c>
    </row>
    <row r="42" spans="2:10" x14ac:dyDescent="0.25">
      <c r="B42" s="659">
        <f>Amnt_Deposited!B34</f>
        <v>1973</v>
      </c>
      <c r="C42" s="660">
        <f>Amnt_Deposited!D34</f>
        <v>0</v>
      </c>
      <c r="D42" s="661">
        <f>MCF!R41</f>
        <v>0.8</v>
      </c>
      <c r="E42" s="662">
        <f t="shared" si="1"/>
        <v>0</v>
      </c>
      <c r="F42" s="662">
        <f t="shared" si="0"/>
        <v>0</v>
      </c>
      <c r="G42" s="662">
        <f t="shared" si="2"/>
        <v>0</v>
      </c>
      <c r="H42" s="662">
        <f t="shared" si="3"/>
        <v>0</v>
      </c>
      <c r="I42" s="662">
        <f t="shared" si="4"/>
        <v>0</v>
      </c>
      <c r="J42" s="663">
        <f t="shared" si="5"/>
        <v>0</v>
      </c>
    </row>
    <row r="43" spans="2:10" x14ac:dyDescent="0.25">
      <c r="B43" s="659">
        <f>Amnt_Deposited!B35</f>
        <v>1974</v>
      </c>
      <c r="C43" s="660">
        <f>Amnt_Deposited!D35</f>
        <v>0</v>
      </c>
      <c r="D43" s="661">
        <f>MCF!R42</f>
        <v>0.8</v>
      </c>
      <c r="E43" s="662">
        <f t="shared" si="1"/>
        <v>0</v>
      </c>
      <c r="F43" s="662">
        <f t="shared" si="0"/>
        <v>0</v>
      </c>
      <c r="G43" s="662">
        <f t="shared" si="2"/>
        <v>0</v>
      </c>
      <c r="H43" s="662">
        <f t="shared" si="3"/>
        <v>0</v>
      </c>
      <c r="I43" s="662">
        <f t="shared" si="4"/>
        <v>0</v>
      </c>
      <c r="J43" s="663">
        <f t="shared" si="5"/>
        <v>0</v>
      </c>
    </row>
    <row r="44" spans="2:10" x14ac:dyDescent="0.25">
      <c r="B44" s="659">
        <f>Amnt_Deposited!B36</f>
        <v>1975</v>
      </c>
      <c r="C44" s="660">
        <f>Amnt_Deposited!D36</f>
        <v>0</v>
      </c>
      <c r="D44" s="661">
        <f>MCF!R43</f>
        <v>0.8</v>
      </c>
      <c r="E44" s="662">
        <f t="shared" si="1"/>
        <v>0</v>
      </c>
      <c r="F44" s="662">
        <f t="shared" si="0"/>
        <v>0</v>
      </c>
      <c r="G44" s="662">
        <f t="shared" si="2"/>
        <v>0</v>
      </c>
      <c r="H44" s="662">
        <f t="shared" si="3"/>
        <v>0</v>
      </c>
      <c r="I44" s="662">
        <f t="shared" si="4"/>
        <v>0</v>
      </c>
      <c r="J44" s="663">
        <f t="shared" si="5"/>
        <v>0</v>
      </c>
    </row>
    <row r="45" spans="2:10" x14ac:dyDescent="0.25">
      <c r="B45" s="659">
        <f>Amnt_Deposited!B37</f>
        <v>1976</v>
      </c>
      <c r="C45" s="660">
        <f>Amnt_Deposited!D37</f>
        <v>0</v>
      </c>
      <c r="D45" s="661">
        <f>MCF!R44</f>
        <v>0.8</v>
      </c>
      <c r="E45" s="662">
        <f t="shared" si="1"/>
        <v>0</v>
      </c>
      <c r="F45" s="662">
        <f t="shared" si="0"/>
        <v>0</v>
      </c>
      <c r="G45" s="662">
        <f t="shared" si="2"/>
        <v>0</v>
      </c>
      <c r="H45" s="662">
        <f t="shared" si="3"/>
        <v>0</v>
      </c>
      <c r="I45" s="662">
        <f t="shared" si="4"/>
        <v>0</v>
      </c>
      <c r="J45" s="663">
        <f t="shared" si="5"/>
        <v>0</v>
      </c>
    </row>
    <row r="46" spans="2:10" x14ac:dyDescent="0.25">
      <c r="B46" s="659">
        <f>Amnt_Deposited!B38</f>
        <v>1977</v>
      </c>
      <c r="C46" s="660">
        <f>Amnt_Deposited!D38</f>
        <v>0</v>
      </c>
      <c r="D46" s="661">
        <f>MCF!R45</f>
        <v>0.8</v>
      </c>
      <c r="E46" s="662">
        <f t="shared" si="1"/>
        <v>0</v>
      </c>
      <c r="F46" s="662">
        <f t="shared" si="0"/>
        <v>0</v>
      </c>
      <c r="G46" s="662">
        <f t="shared" si="2"/>
        <v>0</v>
      </c>
      <c r="H46" s="662">
        <f t="shared" si="3"/>
        <v>0</v>
      </c>
      <c r="I46" s="662">
        <f t="shared" si="4"/>
        <v>0</v>
      </c>
      <c r="J46" s="663">
        <f t="shared" si="5"/>
        <v>0</v>
      </c>
    </row>
    <row r="47" spans="2:10" x14ac:dyDescent="0.25">
      <c r="B47" s="659">
        <f>Amnt_Deposited!B39</f>
        <v>1978</v>
      </c>
      <c r="C47" s="660">
        <f>Amnt_Deposited!D39</f>
        <v>0</v>
      </c>
      <c r="D47" s="661">
        <f>MCF!R46</f>
        <v>0.8</v>
      </c>
      <c r="E47" s="662">
        <f t="shared" si="1"/>
        <v>0</v>
      </c>
      <c r="F47" s="662">
        <f t="shared" si="0"/>
        <v>0</v>
      </c>
      <c r="G47" s="662">
        <f t="shared" si="2"/>
        <v>0</v>
      </c>
      <c r="H47" s="662">
        <f t="shared" si="3"/>
        <v>0</v>
      </c>
      <c r="I47" s="662">
        <f t="shared" si="4"/>
        <v>0</v>
      </c>
      <c r="J47" s="663">
        <f t="shared" si="5"/>
        <v>0</v>
      </c>
    </row>
    <row r="48" spans="2:10" x14ac:dyDescent="0.25">
      <c r="B48" s="659">
        <f>Amnt_Deposited!B40</f>
        <v>1979</v>
      </c>
      <c r="C48" s="660">
        <f>Amnt_Deposited!D40</f>
        <v>0</v>
      </c>
      <c r="D48" s="661">
        <f>MCF!R47</f>
        <v>0.8</v>
      </c>
      <c r="E48" s="662">
        <f t="shared" si="1"/>
        <v>0</v>
      </c>
      <c r="F48" s="662">
        <f t="shared" si="0"/>
        <v>0</v>
      </c>
      <c r="G48" s="662">
        <f t="shared" si="2"/>
        <v>0</v>
      </c>
      <c r="H48" s="662">
        <f t="shared" si="3"/>
        <v>0</v>
      </c>
      <c r="I48" s="662">
        <f t="shared" si="4"/>
        <v>0</v>
      </c>
      <c r="J48" s="663">
        <f t="shared" si="5"/>
        <v>0</v>
      </c>
    </row>
    <row r="49" spans="2:10" x14ac:dyDescent="0.25">
      <c r="B49" s="659">
        <f>Amnt_Deposited!B41</f>
        <v>1980</v>
      </c>
      <c r="C49" s="660">
        <f>Amnt_Deposited!D41</f>
        <v>0</v>
      </c>
      <c r="D49" s="661">
        <f>MCF!R48</f>
        <v>0.9</v>
      </c>
      <c r="E49" s="662">
        <f t="shared" si="1"/>
        <v>0</v>
      </c>
      <c r="F49" s="662">
        <f t="shared" si="0"/>
        <v>0</v>
      </c>
      <c r="G49" s="662">
        <f t="shared" si="2"/>
        <v>0</v>
      </c>
      <c r="H49" s="662">
        <f t="shared" si="3"/>
        <v>0</v>
      </c>
      <c r="I49" s="662">
        <f t="shared" si="4"/>
        <v>0</v>
      </c>
      <c r="J49" s="663">
        <f t="shared" si="5"/>
        <v>0</v>
      </c>
    </row>
    <row r="50" spans="2:10" x14ac:dyDescent="0.25">
      <c r="B50" s="659">
        <f>Amnt_Deposited!B42</f>
        <v>1981</v>
      </c>
      <c r="C50" s="660">
        <f>Amnt_Deposited!D42</f>
        <v>0</v>
      </c>
      <c r="D50" s="661">
        <f>MCF!R49</f>
        <v>0.9</v>
      </c>
      <c r="E50" s="662">
        <f t="shared" si="1"/>
        <v>0</v>
      </c>
      <c r="F50" s="662">
        <f t="shared" si="0"/>
        <v>0</v>
      </c>
      <c r="G50" s="662">
        <f t="shared" si="2"/>
        <v>0</v>
      </c>
      <c r="H50" s="662">
        <f t="shared" si="3"/>
        <v>0</v>
      </c>
      <c r="I50" s="662">
        <f t="shared" si="4"/>
        <v>0</v>
      </c>
      <c r="J50" s="663">
        <f t="shared" si="5"/>
        <v>0</v>
      </c>
    </row>
    <row r="51" spans="2:10" x14ac:dyDescent="0.25">
      <c r="B51" s="659">
        <f>Amnt_Deposited!B43</f>
        <v>1982</v>
      </c>
      <c r="C51" s="660">
        <f>Amnt_Deposited!D43</f>
        <v>0</v>
      </c>
      <c r="D51" s="661">
        <f>MCF!R50</f>
        <v>0.9</v>
      </c>
      <c r="E51" s="662">
        <f t="shared" si="1"/>
        <v>0</v>
      </c>
      <c r="F51" s="662">
        <f t="shared" si="0"/>
        <v>0</v>
      </c>
      <c r="G51" s="662">
        <f t="shared" si="2"/>
        <v>0</v>
      </c>
      <c r="H51" s="662">
        <f t="shared" si="3"/>
        <v>0</v>
      </c>
      <c r="I51" s="662">
        <f t="shared" si="4"/>
        <v>0</v>
      </c>
      <c r="J51" s="663">
        <f t="shared" si="5"/>
        <v>0</v>
      </c>
    </row>
    <row r="52" spans="2:10" x14ac:dyDescent="0.25">
      <c r="B52" s="659">
        <f>Amnt_Deposited!B44</f>
        <v>1983</v>
      </c>
      <c r="C52" s="660">
        <f>Amnt_Deposited!D44</f>
        <v>0</v>
      </c>
      <c r="D52" s="661">
        <f>MCF!R51</f>
        <v>0.9</v>
      </c>
      <c r="E52" s="662">
        <f t="shared" si="1"/>
        <v>0</v>
      </c>
      <c r="F52" s="662">
        <f t="shared" si="0"/>
        <v>0</v>
      </c>
      <c r="G52" s="662">
        <f t="shared" si="2"/>
        <v>0</v>
      </c>
      <c r="H52" s="662">
        <f t="shared" si="3"/>
        <v>0</v>
      </c>
      <c r="I52" s="662">
        <f t="shared" si="4"/>
        <v>0</v>
      </c>
      <c r="J52" s="663">
        <f t="shared" si="5"/>
        <v>0</v>
      </c>
    </row>
    <row r="53" spans="2:10" x14ac:dyDescent="0.25">
      <c r="B53" s="659">
        <f>Amnt_Deposited!B45</f>
        <v>1984</v>
      </c>
      <c r="C53" s="660">
        <f>Amnt_Deposited!D45</f>
        <v>0</v>
      </c>
      <c r="D53" s="661">
        <f>MCF!R52</f>
        <v>0.9</v>
      </c>
      <c r="E53" s="662">
        <f t="shared" si="1"/>
        <v>0</v>
      </c>
      <c r="F53" s="662">
        <f t="shared" si="0"/>
        <v>0</v>
      </c>
      <c r="G53" s="662">
        <f t="shared" si="2"/>
        <v>0</v>
      </c>
      <c r="H53" s="662">
        <f t="shared" si="3"/>
        <v>0</v>
      </c>
      <c r="I53" s="662">
        <f t="shared" si="4"/>
        <v>0</v>
      </c>
      <c r="J53" s="663">
        <f t="shared" si="5"/>
        <v>0</v>
      </c>
    </row>
    <row r="54" spans="2:10" x14ac:dyDescent="0.25">
      <c r="B54" s="659">
        <f>Amnt_Deposited!B46</f>
        <v>1985</v>
      </c>
      <c r="C54" s="660">
        <f>Amnt_Deposited!D46</f>
        <v>0</v>
      </c>
      <c r="D54" s="661">
        <f>MCF!R53</f>
        <v>0.9</v>
      </c>
      <c r="E54" s="662">
        <f t="shared" si="1"/>
        <v>0</v>
      </c>
      <c r="F54" s="662">
        <f t="shared" si="0"/>
        <v>0</v>
      </c>
      <c r="G54" s="662">
        <f t="shared" si="2"/>
        <v>0</v>
      </c>
      <c r="H54" s="662">
        <f t="shared" si="3"/>
        <v>0</v>
      </c>
      <c r="I54" s="662">
        <f t="shared" si="4"/>
        <v>0</v>
      </c>
      <c r="J54" s="663">
        <f t="shared" si="5"/>
        <v>0</v>
      </c>
    </row>
    <row r="55" spans="2:10" x14ac:dyDescent="0.25">
      <c r="B55" s="659">
        <f>Amnt_Deposited!B47</f>
        <v>1986</v>
      </c>
      <c r="C55" s="660">
        <f>Amnt_Deposited!D47</f>
        <v>0</v>
      </c>
      <c r="D55" s="661">
        <f>MCF!R54</f>
        <v>0.9</v>
      </c>
      <c r="E55" s="662">
        <f t="shared" si="1"/>
        <v>0</v>
      </c>
      <c r="F55" s="662">
        <f t="shared" si="0"/>
        <v>0</v>
      </c>
      <c r="G55" s="662">
        <f t="shared" si="2"/>
        <v>0</v>
      </c>
      <c r="H55" s="662">
        <f t="shared" si="3"/>
        <v>0</v>
      </c>
      <c r="I55" s="662">
        <f t="shared" si="4"/>
        <v>0</v>
      </c>
      <c r="J55" s="663">
        <f t="shared" si="5"/>
        <v>0</v>
      </c>
    </row>
    <row r="56" spans="2:10" x14ac:dyDescent="0.25">
      <c r="B56" s="659">
        <f>Amnt_Deposited!B48</f>
        <v>1987</v>
      </c>
      <c r="C56" s="660">
        <f>Amnt_Deposited!D48</f>
        <v>0</v>
      </c>
      <c r="D56" s="661">
        <f>MCF!R55</f>
        <v>0.9</v>
      </c>
      <c r="E56" s="662">
        <f t="shared" si="1"/>
        <v>0</v>
      </c>
      <c r="F56" s="662">
        <f t="shared" si="0"/>
        <v>0</v>
      </c>
      <c r="G56" s="662">
        <f t="shared" si="2"/>
        <v>0</v>
      </c>
      <c r="H56" s="662">
        <f t="shared" si="3"/>
        <v>0</v>
      </c>
      <c r="I56" s="662">
        <f t="shared" si="4"/>
        <v>0</v>
      </c>
      <c r="J56" s="663">
        <f t="shared" si="5"/>
        <v>0</v>
      </c>
    </row>
    <row r="57" spans="2:10" x14ac:dyDescent="0.25">
      <c r="B57" s="659">
        <f>Amnt_Deposited!B49</f>
        <v>1988</v>
      </c>
      <c r="C57" s="660">
        <f>Amnt_Deposited!D49</f>
        <v>0</v>
      </c>
      <c r="D57" s="661">
        <f>MCF!R56</f>
        <v>0.9</v>
      </c>
      <c r="E57" s="662">
        <f t="shared" si="1"/>
        <v>0</v>
      </c>
      <c r="F57" s="662">
        <f t="shared" si="0"/>
        <v>0</v>
      </c>
      <c r="G57" s="662">
        <f t="shared" si="2"/>
        <v>0</v>
      </c>
      <c r="H57" s="662">
        <f t="shared" si="3"/>
        <v>0</v>
      </c>
      <c r="I57" s="662">
        <f t="shared" si="4"/>
        <v>0</v>
      </c>
      <c r="J57" s="663">
        <f t="shared" si="5"/>
        <v>0</v>
      </c>
    </row>
    <row r="58" spans="2:10" x14ac:dyDescent="0.25">
      <c r="B58" s="659">
        <f>Amnt_Deposited!B50</f>
        <v>1989</v>
      </c>
      <c r="C58" s="660">
        <f>Amnt_Deposited!D50</f>
        <v>0</v>
      </c>
      <c r="D58" s="661">
        <f>MCF!R57</f>
        <v>0.9</v>
      </c>
      <c r="E58" s="662">
        <f t="shared" si="1"/>
        <v>0</v>
      </c>
      <c r="F58" s="662">
        <f t="shared" si="0"/>
        <v>0</v>
      </c>
      <c r="G58" s="662">
        <f t="shared" si="2"/>
        <v>0</v>
      </c>
      <c r="H58" s="662">
        <f t="shared" si="3"/>
        <v>0</v>
      </c>
      <c r="I58" s="662">
        <f t="shared" si="4"/>
        <v>0</v>
      </c>
      <c r="J58" s="663">
        <f t="shared" si="5"/>
        <v>0</v>
      </c>
    </row>
    <row r="59" spans="2:10" x14ac:dyDescent="0.25">
      <c r="B59" s="659">
        <f>Amnt_Deposited!B51</f>
        <v>1990</v>
      </c>
      <c r="C59" s="660">
        <f>Amnt_Deposited!D51</f>
        <v>0</v>
      </c>
      <c r="D59" s="661">
        <f>MCF!R58</f>
        <v>1</v>
      </c>
      <c r="E59" s="662">
        <f t="shared" si="1"/>
        <v>0</v>
      </c>
      <c r="F59" s="662">
        <f t="shared" si="0"/>
        <v>0</v>
      </c>
      <c r="G59" s="662">
        <f t="shared" si="2"/>
        <v>0</v>
      </c>
      <c r="H59" s="662">
        <f t="shared" si="3"/>
        <v>0</v>
      </c>
      <c r="I59" s="662">
        <f t="shared" si="4"/>
        <v>0</v>
      </c>
      <c r="J59" s="663">
        <f t="shared" si="5"/>
        <v>0</v>
      </c>
    </row>
    <row r="60" spans="2:10" x14ac:dyDescent="0.25">
      <c r="B60" s="659">
        <f>Amnt_Deposited!B52</f>
        <v>1991</v>
      </c>
      <c r="C60" s="660">
        <f>Amnt_Deposited!D52</f>
        <v>0</v>
      </c>
      <c r="D60" s="661">
        <f>MCF!R59</f>
        <v>1</v>
      </c>
      <c r="E60" s="662">
        <f t="shared" si="1"/>
        <v>0</v>
      </c>
      <c r="F60" s="662">
        <f t="shared" si="0"/>
        <v>0</v>
      </c>
      <c r="G60" s="662">
        <f t="shared" si="2"/>
        <v>0</v>
      </c>
      <c r="H60" s="662">
        <f t="shared" si="3"/>
        <v>0</v>
      </c>
      <c r="I60" s="662">
        <f t="shared" si="4"/>
        <v>0</v>
      </c>
      <c r="J60" s="663">
        <f t="shared" si="5"/>
        <v>0</v>
      </c>
    </row>
    <row r="61" spans="2:10" x14ac:dyDescent="0.25">
      <c r="B61" s="659">
        <f>Amnt_Deposited!B53</f>
        <v>1992</v>
      </c>
      <c r="C61" s="660">
        <f>Amnt_Deposited!D53</f>
        <v>0</v>
      </c>
      <c r="D61" s="661">
        <f>MCF!R60</f>
        <v>1</v>
      </c>
      <c r="E61" s="662">
        <f t="shared" si="1"/>
        <v>0</v>
      </c>
      <c r="F61" s="662">
        <f t="shared" si="0"/>
        <v>0</v>
      </c>
      <c r="G61" s="662">
        <f t="shared" si="2"/>
        <v>0</v>
      </c>
      <c r="H61" s="662">
        <f t="shared" si="3"/>
        <v>0</v>
      </c>
      <c r="I61" s="662">
        <f t="shared" si="4"/>
        <v>0</v>
      </c>
      <c r="J61" s="663">
        <f t="shared" si="5"/>
        <v>0</v>
      </c>
    </row>
    <row r="62" spans="2:10" x14ac:dyDescent="0.25">
      <c r="B62" s="659">
        <f>Amnt_Deposited!B54</f>
        <v>1993</v>
      </c>
      <c r="C62" s="660">
        <f>Amnt_Deposited!D54</f>
        <v>0</v>
      </c>
      <c r="D62" s="661">
        <f>MCF!R61</f>
        <v>1</v>
      </c>
      <c r="E62" s="662">
        <f t="shared" si="1"/>
        <v>0</v>
      </c>
      <c r="F62" s="662">
        <f t="shared" si="0"/>
        <v>0</v>
      </c>
      <c r="G62" s="662">
        <f t="shared" si="2"/>
        <v>0</v>
      </c>
      <c r="H62" s="662">
        <f t="shared" si="3"/>
        <v>0</v>
      </c>
      <c r="I62" s="662">
        <f t="shared" si="4"/>
        <v>0</v>
      </c>
      <c r="J62" s="663">
        <f t="shared" si="5"/>
        <v>0</v>
      </c>
    </row>
    <row r="63" spans="2:10" x14ac:dyDescent="0.25">
      <c r="B63" s="659">
        <f>Amnt_Deposited!B55</f>
        <v>1994</v>
      </c>
      <c r="C63" s="660">
        <f>Amnt_Deposited!D55</f>
        <v>0</v>
      </c>
      <c r="D63" s="661">
        <f>MCF!R62</f>
        <v>1</v>
      </c>
      <c r="E63" s="662">
        <f t="shared" si="1"/>
        <v>0</v>
      </c>
      <c r="F63" s="662">
        <f t="shared" si="0"/>
        <v>0</v>
      </c>
      <c r="G63" s="662">
        <f t="shared" si="2"/>
        <v>0</v>
      </c>
      <c r="H63" s="662">
        <f t="shared" si="3"/>
        <v>0</v>
      </c>
      <c r="I63" s="662">
        <f t="shared" si="4"/>
        <v>0</v>
      </c>
      <c r="J63" s="663">
        <f t="shared" si="5"/>
        <v>0</v>
      </c>
    </row>
    <row r="64" spans="2:10" x14ac:dyDescent="0.25">
      <c r="B64" s="659">
        <f>Amnt_Deposited!B56</f>
        <v>1995</v>
      </c>
      <c r="C64" s="660">
        <f>Amnt_Deposited!D56</f>
        <v>0</v>
      </c>
      <c r="D64" s="661">
        <f>MCF!R63</f>
        <v>1</v>
      </c>
      <c r="E64" s="662">
        <f t="shared" si="1"/>
        <v>0</v>
      </c>
      <c r="F64" s="662">
        <f t="shared" si="0"/>
        <v>0</v>
      </c>
      <c r="G64" s="662">
        <f t="shared" si="2"/>
        <v>0</v>
      </c>
      <c r="H64" s="662">
        <f t="shared" si="3"/>
        <v>0</v>
      </c>
      <c r="I64" s="662">
        <f t="shared" si="4"/>
        <v>0</v>
      </c>
      <c r="J64" s="663">
        <f t="shared" si="5"/>
        <v>0</v>
      </c>
    </row>
    <row r="65" spans="2:10" x14ac:dyDescent="0.25">
      <c r="B65" s="659">
        <f>Amnt_Deposited!B57</f>
        <v>1996</v>
      </c>
      <c r="C65" s="660">
        <f>Amnt_Deposited!D57</f>
        <v>0</v>
      </c>
      <c r="D65" s="661">
        <f>MCF!R64</f>
        <v>1</v>
      </c>
      <c r="E65" s="662">
        <f t="shared" si="1"/>
        <v>0</v>
      </c>
      <c r="F65" s="662">
        <f t="shared" si="0"/>
        <v>0</v>
      </c>
      <c r="G65" s="662">
        <f t="shared" si="2"/>
        <v>0</v>
      </c>
      <c r="H65" s="662">
        <f t="shared" si="3"/>
        <v>0</v>
      </c>
      <c r="I65" s="662">
        <f t="shared" si="4"/>
        <v>0</v>
      </c>
      <c r="J65" s="663">
        <f t="shared" si="5"/>
        <v>0</v>
      </c>
    </row>
    <row r="66" spans="2:10" x14ac:dyDescent="0.25">
      <c r="B66" s="659">
        <f>Amnt_Deposited!B58</f>
        <v>1997</v>
      </c>
      <c r="C66" s="660">
        <f>Amnt_Deposited!D58</f>
        <v>0</v>
      </c>
      <c r="D66" s="661">
        <f>MCF!R65</f>
        <v>1</v>
      </c>
      <c r="E66" s="662">
        <f t="shared" si="1"/>
        <v>0</v>
      </c>
      <c r="F66" s="662">
        <f t="shared" si="0"/>
        <v>0</v>
      </c>
      <c r="G66" s="662">
        <f t="shared" si="2"/>
        <v>0</v>
      </c>
      <c r="H66" s="662">
        <f t="shared" si="3"/>
        <v>0</v>
      </c>
      <c r="I66" s="662">
        <f t="shared" si="4"/>
        <v>0</v>
      </c>
      <c r="J66" s="663">
        <f t="shared" si="5"/>
        <v>0</v>
      </c>
    </row>
    <row r="67" spans="2:10" x14ac:dyDescent="0.25">
      <c r="B67" s="659">
        <f>Amnt_Deposited!B59</f>
        <v>1998</v>
      </c>
      <c r="C67" s="660">
        <f>Amnt_Deposited!D59</f>
        <v>0</v>
      </c>
      <c r="D67" s="661">
        <f>MCF!R66</f>
        <v>1</v>
      </c>
      <c r="E67" s="662">
        <f t="shared" si="1"/>
        <v>0</v>
      </c>
      <c r="F67" s="662">
        <f t="shared" si="0"/>
        <v>0</v>
      </c>
      <c r="G67" s="662">
        <f t="shared" si="2"/>
        <v>0</v>
      </c>
      <c r="H67" s="662">
        <f t="shared" si="3"/>
        <v>0</v>
      </c>
      <c r="I67" s="662">
        <f t="shared" si="4"/>
        <v>0</v>
      </c>
      <c r="J67" s="663">
        <f t="shared" si="5"/>
        <v>0</v>
      </c>
    </row>
    <row r="68" spans="2:10" x14ac:dyDescent="0.25">
      <c r="B68" s="659">
        <f>Amnt_Deposited!B60</f>
        <v>1999</v>
      </c>
      <c r="C68" s="660">
        <f>Amnt_Deposited!D60</f>
        <v>0</v>
      </c>
      <c r="D68" s="661">
        <f>MCF!R67</f>
        <v>1</v>
      </c>
      <c r="E68" s="662">
        <f t="shared" si="1"/>
        <v>0</v>
      </c>
      <c r="F68" s="662">
        <f t="shared" si="0"/>
        <v>0</v>
      </c>
      <c r="G68" s="662">
        <f t="shared" si="2"/>
        <v>0</v>
      </c>
      <c r="H68" s="662">
        <f t="shared" si="3"/>
        <v>0</v>
      </c>
      <c r="I68" s="662">
        <f t="shared" si="4"/>
        <v>0</v>
      </c>
      <c r="J68" s="663">
        <f t="shared" si="5"/>
        <v>0</v>
      </c>
    </row>
    <row r="69" spans="2:10" x14ac:dyDescent="0.25">
      <c r="B69" s="659">
        <f>Amnt_Deposited!B61</f>
        <v>2000</v>
      </c>
      <c r="C69" s="660">
        <f>Amnt_Deposited!D61</f>
        <v>0</v>
      </c>
      <c r="D69" s="661">
        <f>MCF!R68</f>
        <v>1</v>
      </c>
      <c r="E69" s="662">
        <f t="shared" si="1"/>
        <v>0</v>
      </c>
      <c r="F69" s="662">
        <f t="shared" si="0"/>
        <v>0</v>
      </c>
      <c r="G69" s="662">
        <f t="shared" si="2"/>
        <v>0</v>
      </c>
      <c r="H69" s="662">
        <f t="shared" si="3"/>
        <v>0</v>
      </c>
      <c r="I69" s="662">
        <f t="shared" si="4"/>
        <v>0</v>
      </c>
      <c r="J69" s="663">
        <f t="shared" si="5"/>
        <v>0</v>
      </c>
    </row>
    <row r="70" spans="2:10" x14ac:dyDescent="0.25">
      <c r="B70" s="659">
        <f>Amnt_Deposited!B62</f>
        <v>2001</v>
      </c>
      <c r="C70" s="660">
        <f>Amnt_Deposited!D62</f>
        <v>0</v>
      </c>
      <c r="D70" s="661">
        <f>MCF!R69</f>
        <v>1</v>
      </c>
      <c r="E70" s="662">
        <f t="shared" si="1"/>
        <v>0</v>
      </c>
      <c r="F70" s="662">
        <f t="shared" si="0"/>
        <v>0</v>
      </c>
      <c r="G70" s="662">
        <f t="shared" si="2"/>
        <v>0</v>
      </c>
      <c r="H70" s="662">
        <f t="shared" si="3"/>
        <v>0</v>
      </c>
      <c r="I70" s="662">
        <f t="shared" si="4"/>
        <v>0</v>
      </c>
      <c r="J70" s="663">
        <f t="shared" si="5"/>
        <v>0</v>
      </c>
    </row>
    <row r="71" spans="2:10" x14ac:dyDescent="0.25">
      <c r="B71" s="659">
        <f>Amnt_Deposited!B63</f>
        <v>2002</v>
      </c>
      <c r="C71" s="660">
        <f>Amnt_Deposited!D63</f>
        <v>0</v>
      </c>
      <c r="D71" s="661">
        <f>MCF!R70</f>
        <v>1</v>
      </c>
      <c r="E71" s="662">
        <f t="shared" si="1"/>
        <v>0</v>
      </c>
      <c r="F71" s="662">
        <f t="shared" si="0"/>
        <v>0</v>
      </c>
      <c r="G71" s="662">
        <f t="shared" si="2"/>
        <v>0</v>
      </c>
      <c r="H71" s="662">
        <f t="shared" si="3"/>
        <v>0</v>
      </c>
      <c r="I71" s="662">
        <f t="shared" si="4"/>
        <v>0</v>
      </c>
      <c r="J71" s="663">
        <f t="shared" si="5"/>
        <v>0</v>
      </c>
    </row>
    <row r="72" spans="2:10" x14ac:dyDescent="0.25">
      <c r="B72" s="659">
        <f>Amnt_Deposited!B64</f>
        <v>2003</v>
      </c>
      <c r="C72" s="660">
        <f>Amnt_Deposited!D64</f>
        <v>0</v>
      </c>
      <c r="D72" s="661">
        <f>MCF!R71</f>
        <v>1</v>
      </c>
      <c r="E72" s="662">
        <f t="shared" si="1"/>
        <v>0</v>
      </c>
      <c r="F72" s="662">
        <f t="shared" si="0"/>
        <v>0</v>
      </c>
      <c r="G72" s="662">
        <f t="shared" si="2"/>
        <v>0</v>
      </c>
      <c r="H72" s="662">
        <f t="shared" si="3"/>
        <v>0</v>
      </c>
      <c r="I72" s="662">
        <f t="shared" si="4"/>
        <v>0</v>
      </c>
      <c r="J72" s="663">
        <f t="shared" si="5"/>
        <v>0</v>
      </c>
    </row>
    <row r="73" spans="2:10" x14ac:dyDescent="0.25">
      <c r="B73" s="659">
        <f>Amnt_Deposited!B65</f>
        <v>2004</v>
      </c>
      <c r="C73" s="660">
        <f>Amnt_Deposited!D65</f>
        <v>0</v>
      </c>
      <c r="D73" s="661">
        <f>MCF!R72</f>
        <v>1</v>
      </c>
      <c r="E73" s="662">
        <f t="shared" si="1"/>
        <v>0</v>
      </c>
      <c r="F73" s="662">
        <f t="shared" si="0"/>
        <v>0</v>
      </c>
      <c r="G73" s="662">
        <f t="shared" si="2"/>
        <v>0</v>
      </c>
      <c r="H73" s="662">
        <f t="shared" si="3"/>
        <v>0</v>
      </c>
      <c r="I73" s="662">
        <f t="shared" si="4"/>
        <v>0</v>
      </c>
      <c r="J73" s="663">
        <f t="shared" si="5"/>
        <v>0</v>
      </c>
    </row>
    <row r="74" spans="2:10" x14ac:dyDescent="0.25">
      <c r="B74" s="659">
        <f>Amnt_Deposited!B66</f>
        <v>2005</v>
      </c>
      <c r="C74" s="660">
        <f>Amnt_Deposited!D66</f>
        <v>0</v>
      </c>
      <c r="D74" s="661">
        <f>MCF!R73</f>
        <v>1</v>
      </c>
      <c r="E74" s="662">
        <f t="shared" si="1"/>
        <v>0</v>
      </c>
      <c r="F74" s="662">
        <f t="shared" si="0"/>
        <v>0</v>
      </c>
      <c r="G74" s="662">
        <f t="shared" si="2"/>
        <v>0</v>
      </c>
      <c r="H74" s="662">
        <f t="shared" si="3"/>
        <v>0</v>
      </c>
      <c r="I74" s="662">
        <f t="shared" si="4"/>
        <v>0</v>
      </c>
      <c r="J74" s="663">
        <f t="shared" si="5"/>
        <v>0</v>
      </c>
    </row>
    <row r="75" spans="2:10" x14ac:dyDescent="0.25">
      <c r="B75" s="659">
        <f>Amnt_Deposited!B67</f>
        <v>2006</v>
      </c>
      <c r="C75" s="660">
        <f>Amnt_Deposited!D67</f>
        <v>0</v>
      </c>
      <c r="D75" s="661">
        <f>MCF!R74</f>
        <v>1</v>
      </c>
      <c r="E75" s="662">
        <f t="shared" si="1"/>
        <v>0</v>
      </c>
      <c r="F75" s="662">
        <f t="shared" si="0"/>
        <v>0</v>
      </c>
      <c r="G75" s="662">
        <f t="shared" si="2"/>
        <v>0</v>
      </c>
      <c r="H75" s="662">
        <f t="shared" si="3"/>
        <v>0</v>
      </c>
      <c r="I75" s="662">
        <f t="shared" si="4"/>
        <v>0</v>
      </c>
      <c r="J75" s="663">
        <f t="shared" si="5"/>
        <v>0</v>
      </c>
    </row>
    <row r="76" spans="2:10" x14ac:dyDescent="0.25">
      <c r="B76" s="659">
        <f>Amnt_Deposited!B68</f>
        <v>2007</v>
      </c>
      <c r="C76" s="660">
        <f>Amnt_Deposited!D68</f>
        <v>0</v>
      </c>
      <c r="D76" s="661">
        <f>MCF!R75</f>
        <v>1</v>
      </c>
      <c r="E76" s="662">
        <f t="shared" si="1"/>
        <v>0</v>
      </c>
      <c r="F76" s="662">
        <f t="shared" si="0"/>
        <v>0</v>
      </c>
      <c r="G76" s="662">
        <f t="shared" si="2"/>
        <v>0</v>
      </c>
      <c r="H76" s="662">
        <f t="shared" si="3"/>
        <v>0</v>
      </c>
      <c r="I76" s="662">
        <f t="shared" si="4"/>
        <v>0</v>
      </c>
      <c r="J76" s="663">
        <f t="shared" si="5"/>
        <v>0</v>
      </c>
    </row>
    <row r="77" spans="2:10" x14ac:dyDescent="0.25">
      <c r="B77" s="659">
        <f>Amnt_Deposited!B69</f>
        <v>2008</v>
      </c>
      <c r="C77" s="660">
        <f>Amnt_Deposited!D69</f>
        <v>0</v>
      </c>
      <c r="D77" s="661">
        <f>MCF!R76</f>
        <v>1</v>
      </c>
      <c r="E77" s="662">
        <f t="shared" si="1"/>
        <v>0</v>
      </c>
      <c r="F77" s="662">
        <f t="shared" si="0"/>
        <v>0</v>
      </c>
      <c r="G77" s="662">
        <f t="shared" si="2"/>
        <v>0</v>
      </c>
      <c r="H77" s="662">
        <f t="shared" si="3"/>
        <v>0</v>
      </c>
      <c r="I77" s="662">
        <f t="shared" si="4"/>
        <v>0</v>
      </c>
      <c r="J77" s="663">
        <f t="shared" si="5"/>
        <v>0</v>
      </c>
    </row>
    <row r="78" spans="2:10" x14ac:dyDescent="0.25">
      <c r="B78" s="659">
        <f>Amnt_Deposited!B70</f>
        <v>2009</v>
      </c>
      <c r="C78" s="660">
        <f>Amnt_Deposited!D70</f>
        <v>0</v>
      </c>
      <c r="D78" s="661">
        <f>MCF!R77</f>
        <v>1</v>
      </c>
      <c r="E78" s="662">
        <f t="shared" si="1"/>
        <v>0</v>
      </c>
      <c r="F78" s="662">
        <f t="shared" si="0"/>
        <v>0</v>
      </c>
      <c r="G78" s="662">
        <f t="shared" si="2"/>
        <v>0</v>
      </c>
      <c r="H78" s="662">
        <f t="shared" si="3"/>
        <v>0</v>
      </c>
      <c r="I78" s="662">
        <f t="shared" si="4"/>
        <v>0</v>
      </c>
      <c r="J78" s="663">
        <f t="shared" si="5"/>
        <v>0</v>
      </c>
    </row>
    <row r="79" spans="2:10" x14ac:dyDescent="0.25">
      <c r="B79" s="659">
        <f>Amnt_Deposited!B71</f>
        <v>2010</v>
      </c>
      <c r="C79" s="660">
        <f>Amnt_Deposited!D71</f>
        <v>0</v>
      </c>
      <c r="D79" s="661">
        <f>MCF!R78</f>
        <v>1</v>
      </c>
      <c r="E79" s="662">
        <f t="shared" si="1"/>
        <v>0</v>
      </c>
      <c r="F79" s="662">
        <f t="shared" si="0"/>
        <v>0</v>
      </c>
      <c r="G79" s="662">
        <f t="shared" si="2"/>
        <v>0</v>
      </c>
      <c r="H79" s="662">
        <f t="shared" si="3"/>
        <v>0</v>
      </c>
      <c r="I79" s="662">
        <f t="shared" si="4"/>
        <v>0</v>
      </c>
      <c r="J79" s="663">
        <f t="shared" si="5"/>
        <v>0</v>
      </c>
    </row>
    <row r="80" spans="2:10" x14ac:dyDescent="0.25">
      <c r="B80" s="659">
        <f>Amnt_Deposited!B72</f>
        <v>2011</v>
      </c>
      <c r="C80" s="660">
        <f>Amnt_Deposited!D72</f>
        <v>0</v>
      </c>
      <c r="D80" s="661">
        <f>MCF!R79</f>
        <v>1</v>
      </c>
      <c r="E80" s="662">
        <f t="shared" si="1"/>
        <v>0</v>
      </c>
      <c r="F80" s="662">
        <f t="shared" si="0"/>
        <v>0</v>
      </c>
      <c r="G80" s="662">
        <f t="shared" si="2"/>
        <v>0</v>
      </c>
      <c r="H80" s="662">
        <f t="shared" si="3"/>
        <v>0</v>
      </c>
      <c r="I80" s="662">
        <f t="shared" si="4"/>
        <v>0</v>
      </c>
      <c r="J80" s="663">
        <f t="shared" si="5"/>
        <v>0</v>
      </c>
    </row>
    <row r="81" spans="2:10" x14ac:dyDescent="0.25">
      <c r="B81" s="659">
        <f>Amnt_Deposited!B73</f>
        <v>2012</v>
      </c>
      <c r="C81" s="660">
        <f>Amnt_Deposited!D73</f>
        <v>0</v>
      </c>
      <c r="D81" s="661">
        <f>MCF!R80</f>
        <v>1</v>
      </c>
      <c r="E81" s="662">
        <f t="shared" si="1"/>
        <v>0</v>
      </c>
      <c r="F81" s="662">
        <f t="shared" si="0"/>
        <v>0</v>
      </c>
      <c r="G81" s="662">
        <f t="shared" si="2"/>
        <v>0</v>
      </c>
      <c r="H81" s="662">
        <f t="shared" si="3"/>
        <v>0</v>
      </c>
      <c r="I81" s="662">
        <f t="shared" si="4"/>
        <v>0</v>
      </c>
      <c r="J81" s="663">
        <f t="shared" si="5"/>
        <v>0</v>
      </c>
    </row>
    <row r="82" spans="2:10" x14ac:dyDescent="0.25">
      <c r="B82" s="659">
        <f>Amnt_Deposited!B74</f>
        <v>2013</v>
      </c>
      <c r="C82" s="660">
        <f>Amnt_Deposited!D74</f>
        <v>0</v>
      </c>
      <c r="D82" s="661">
        <f>MCF!R81</f>
        <v>1</v>
      </c>
      <c r="E82" s="662">
        <f t="shared" si="1"/>
        <v>0</v>
      </c>
      <c r="F82" s="662">
        <f t="shared" si="0"/>
        <v>0</v>
      </c>
      <c r="G82" s="662">
        <f t="shared" si="2"/>
        <v>0</v>
      </c>
      <c r="H82" s="662">
        <f t="shared" si="3"/>
        <v>0</v>
      </c>
      <c r="I82" s="662">
        <f t="shared" si="4"/>
        <v>0</v>
      </c>
      <c r="J82" s="663">
        <f t="shared" si="5"/>
        <v>0</v>
      </c>
    </row>
    <row r="83" spans="2:10" x14ac:dyDescent="0.25">
      <c r="B83" s="659">
        <f>Amnt_Deposited!B75</f>
        <v>2014</v>
      </c>
      <c r="C83" s="660">
        <f>Amnt_Deposited!D75</f>
        <v>0</v>
      </c>
      <c r="D83" s="661">
        <f>MCF!R82</f>
        <v>1</v>
      </c>
      <c r="E83" s="662">
        <f t="shared" si="1"/>
        <v>0</v>
      </c>
      <c r="F83" s="662">
        <f t="shared" ref="F83:F109" si="6">E83*$I$12</f>
        <v>0</v>
      </c>
      <c r="G83" s="662">
        <f t="shared" si="2"/>
        <v>0</v>
      </c>
      <c r="H83" s="662">
        <f t="shared" si="3"/>
        <v>0</v>
      </c>
      <c r="I83" s="662">
        <f t="shared" si="4"/>
        <v>0</v>
      </c>
      <c r="J83" s="663">
        <f t="shared" si="5"/>
        <v>0</v>
      </c>
    </row>
    <row r="84" spans="2:10" x14ac:dyDescent="0.25">
      <c r="B84" s="659">
        <f>Amnt_Deposited!B76</f>
        <v>2015</v>
      </c>
      <c r="C84" s="660">
        <f>Amnt_Deposited!D76</f>
        <v>0</v>
      </c>
      <c r="D84" s="661">
        <f>MCF!R83</f>
        <v>1</v>
      </c>
      <c r="E84" s="662">
        <f t="shared" ref="E84:E109" si="7">C84*$I$6*DOCF*D84</f>
        <v>0</v>
      </c>
      <c r="F84" s="662">
        <f t="shared" si="6"/>
        <v>0</v>
      </c>
      <c r="G84" s="662">
        <f t="shared" ref="G84:G109" si="8">E84*(1-$I$12)</f>
        <v>0</v>
      </c>
      <c r="H84" s="662">
        <f t="shared" ref="H84:H109" si="9">F84+H83*$I$10</f>
        <v>0</v>
      </c>
      <c r="I84" s="662">
        <f t="shared" ref="I84:I109" si="10">H83*(1-$I$10)+G84</f>
        <v>0</v>
      </c>
      <c r="J84" s="663">
        <f t="shared" si="5"/>
        <v>0</v>
      </c>
    </row>
    <row r="85" spans="2:10" x14ac:dyDescent="0.25">
      <c r="B85" s="659">
        <f>Amnt_Deposited!B77</f>
        <v>2016</v>
      </c>
      <c r="C85" s="660">
        <f>Amnt_Deposited!D77</f>
        <v>0</v>
      </c>
      <c r="D85" s="661">
        <f>MCF!R84</f>
        <v>1</v>
      </c>
      <c r="E85" s="662">
        <f t="shared" si="7"/>
        <v>0</v>
      </c>
      <c r="F85" s="662">
        <f t="shared" si="6"/>
        <v>0</v>
      </c>
      <c r="G85" s="662">
        <f t="shared" si="8"/>
        <v>0</v>
      </c>
      <c r="H85" s="662">
        <f t="shared" si="9"/>
        <v>0</v>
      </c>
      <c r="I85" s="662">
        <f t="shared" si="10"/>
        <v>0</v>
      </c>
      <c r="J85" s="663">
        <f t="shared" ref="J85:J109" si="11">I85*CH4_fraction*conv</f>
        <v>0</v>
      </c>
    </row>
    <row r="86" spans="2:10" x14ac:dyDescent="0.25">
      <c r="B86" s="659">
        <f>Amnt_Deposited!B78</f>
        <v>2017</v>
      </c>
      <c r="C86" s="660">
        <f>Amnt_Deposited!D78</f>
        <v>0</v>
      </c>
      <c r="D86" s="661">
        <f>MCF!R85</f>
        <v>1</v>
      </c>
      <c r="E86" s="662">
        <f t="shared" ref="E86:E109" si="12">C86*$I$6*DOCF*D86</f>
        <v>0</v>
      </c>
      <c r="F86" s="662">
        <f t="shared" ref="F86:F109" si="13">E86*$I$12</f>
        <v>0</v>
      </c>
      <c r="G86" s="662">
        <f t="shared" ref="G86:G109" si="14">E86*(1-$I$12)</f>
        <v>0</v>
      </c>
      <c r="H86" s="662">
        <f t="shared" ref="H86:H109" si="15">F86+H85*$I$10</f>
        <v>0</v>
      </c>
      <c r="I86" s="662">
        <f t="shared" ref="I86:I109" si="16">H85*(1-$I$10)+G86</f>
        <v>0</v>
      </c>
      <c r="J86" s="663">
        <f t="shared" ref="J86:J109" si="17">I86*CH4_fraction*conv</f>
        <v>0</v>
      </c>
    </row>
    <row r="87" spans="2:10" x14ac:dyDescent="0.25">
      <c r="B87" s="659">
        <f>Amnt_Deposited!B79</f>
        <v>2018</v>
      </c>
      <c r="C87" s="660">
        <f>Amnt_Deposited!D79</f>
        <v>0</v>
      </c>
      <c r="D87" s="661">
        <f>MCF!R86</f>
        <v>1</v>
      </c>
      <c r="E87" s="662">
        <f t="shared" si="12"/>
        <v>0</v>
      </c>
      <c r="F87" s="662">
        <f t="shared" si="13"/>
        <v>0</v>
      </c>
      <c r="G87" s="662">
        <f t="shared" si="14"/>
        <v>0</v>
      </c>
      <c r="H87" s="662">
        <f t="shared" si="15"/>
        <v>0</v>
      </c>
      <c r="I87" s="662">
        <f t="shared" si="16"/>
        <v>0</v>
      </c>
      <c r="J87" s="663">
        <f t="shared" si="17"/>
        <v>0</v>
      </c>
    </row>
    <row r="88" spans="2:10" x14ac:dyDescent="0.25">
      <c r="B88" s="659">
        <f>Amnt_Deposited!B80</f>
        <v>2019</v>
      </c>
      <c r="C88" s="660">
        <f>Amnt_Deposited!D80</f>
        <v>0</v>
      </c>
      <c r="D88" s="661">
        <f>MCF!R87</f>
        <v>1</v>
      </c>
      <c r="E88" s="662">
        <f t="shared" si="12"/>
        <v>0</v>
      </c>
      <c r="F88" s="662">
        <f t="shared" si="13"/>
        <v>0</v>
      </c>
      <c r="G88" s="662">
        <f t="shared" si="14"/>
        <v>0</v>
      </c>
      <c r="H88" s="662">
        <f t="shared" si="15"/>
        <v>0</v>
      </c>
      <c r="I88" s="662">
        <f t="shared" si="16"/>
        <v>0</v>
      </c>
      <c r="J88" s="663">
        <f t="shared" si="17"/>
        <v>0</v>
      </c>
    </row>
    <row r="89" spans="2:10" x14ac:dyDescent="0.25">
      <c r="B89" s="659">
        <f>Amnt_Deposited!B81</f>
        <v>2020</v>
      </c>
      <c r="C89" s="660">
        <f>Amnt_Deposited!D81</f>
        <v>0</v>
      </c>
      <c r="D89" s="661">
        <f>MCF!R88</f>
        <v>1</v>
      </c>
      <c r="E89" s="662">
        <f t="shared" si="12"/>
        <v>0</v>
      </c>
      <c r="F89" s="662">
        <f t="shared" si="13"/>
        <v>0</v>
      </c>
      <c r="G89" s="662">
        <f t="shared" si="14"/>
        <v>0</v>
      </c>
      <c r="H89" s="662">
        <f t="shared" si="15"/>
        <v>0</v>
      </c>
      <c r="I89" s="662">
        <f t="shared" si="16"/>
        <v>0</v>
      </c>
      <c r="J89" s="663">
        <f t="shared" si="17"/>
        <v>0</v>
      </c>
    </row>
    <row r="90" spans="2:10" x14ac:dyDescent="0.25">
      <c r="B90" s="659">
        <f>Amnt_Deposited!B82</f>
        <v>2021</v>
      </c>
      <c r="C90" s="660">
        <f>Amnt_Deposited!D82</f>
        <v>0</v>
      </c>
      <c r="D90" s="661">
        <f>MCF!R89</f>
        <v>1</v>
      </c>
      <c r="E90" s="662">
        <f t="shared" si="12"/>
        <v>0</v>
      </c>
      <c r="F90" s="662">
        <f t="shared" si="13"/>
        <v>0</v>
      </c>
      <c r="G90" s="662">
        <f t="shared" si="14"/>
        <v>0</v>
      </c>
      <c r="H90" s="662">
        <f t="shared" si="15"/>
        <v>0</v>
      </c>
      <c r="I90" s="662">
        <f t="shared" si="16"/>
        <v>0</v>
      </c>
      <c r="J90" s="663">
        <f t="shared" si="17"/>
        <v>0</v>
      </c>
    </row>
    <row r="91" spans="2:10" x14ac:dyDescent="0.25">
      <c r="B91" s="659">
        <f>Amnt_Deposited!B83</f>
        <v>2022</v>
      </c>
      <c r="C91" s="660">
        <f>Amnt_Deposited!D83</f>
        <v>0</v>
      </c>
      <c r="D91" s="661">
        <f>MCF!R90</f>
        <v>1</v>
      </c>
      <c r="E91" s="662">
        <f t="shared" si="12"/>
        <v>0</v>
      </c>
      <c r="F91" s="662">
        <f t="shared" si="13"/>
        <v>0</v>
      </c>
      <c r="G91" s="662">
        <f t="shared" si="14"/>
        <v>0</v>
      </c>
      <c r="H91" s="662">
        <f t="shared" si="15"/>
        <v>0</v>
      </c>
      <c r="I91" s="662">
        <f t="shared" si="16"/>
        <v>0</v>
      </c>
      <c r="J91" s="663">
        <f t="shared" si="17"/>
        <v>0</v>
      </c>
    </row>
    <row r="92" spans="2:10" x14ac:dyDescent="0.25">
      <c r="B92" s="659">
        <f>Amnt_Deposited!B84</f>
        <v>2023</v>
      </c>
      <c r="C92" s="660">
        <f>Amnt_Deposited!D84</f>
        <v>0</v>
      </c>
      <c r="D92" s="661">
        <f>MCF!R91</f>
        <v>1</v>
      </c>
      <c r="E92" s="662">
        <f t="shared" si="12"/>
        <v>0</v>
      </c>
      <c r="F92" s="662">
        <f t="shared" si="13"/>
        <v>0</v>
      </c>
      <c r="G92" s="662">
        <f t="shared" si="14"/>
        <v>0</v>
      </c>
      <c r="H92" s="662">
        <f t="shared" si="15"/>
        <v>0</v>
      </c>
      <c r="I92" s="662">
        <f t="shared" si="16"/>
        <v>0</v>
      </c>
      <c r="J92" s="663">
        <f t="shared" si="17"/>
        <v>0</v>
      </c>
    </row>
    <row r="93" spans="2:10" x14ac:dyDescent="0.25">
      <c r="B93" s="659">
        <f>Amnt_Deposited!B85</f>
        <v>2024</v>
      </c>
      <c r="C93" s="660">
        <f>Amnt_Deposited!D85</f>
        <v>0</v>
      </c>
      <c r="D93" s="661">
        <f>MCF!R92</f>
        <v>1</v>
      </c>
      <c r="E93" s="662">
        <f t="shared" si="12"/>
        <v>0</v>
      </c>
      <c r="F93" s="662">
        <f t="shared" si="13"/>
        <v>0</v>
      </c>
      <c r="G93" s="662">
        <f t="shared" si="14"/>
        <v>0</v>
      </c>
      <c r="H93" s="662">
        <f t="shared" si="15"/>
        <v>0</v>
      </c>
      <c r="I93" s="662">
        <f t="shared" si="16"/>
        <v>0</v>
      </c>
      <c r="J93" s="663">
        <f t="shared" si="17"/>
        <v>0</v>
      </c>
    </row>
    <row r="94" spans="2:10" x14ac:dyDescent="0.25">
      <c r="B94" s="659">
        <f>Amnt_Deposited!B86</f>
        <v>2025</v>
      </c>
      <c r="C94" s="660">
        <f>Amnt_Deposited!D86</f>
        <v>0</v>
      </c>
      <c r="D94" s="661">
        <f>MCF!R93</f>
        <v>1</v>
      </c>
      <c r="E94" s="662">
        <f t="shared" si="12"/>
        <v>0</v>
      </c>
      <c r="F94" s="662">
        <f t="shared" si="13"/>
        <v>0</v>
      </c>
      <c r="G94" s="662">
        <f t="shared" si="14"/>
        <v>0</v>
      </c>
      <c r="H94" s="662">
        <f t="shared" si="15"/>
        <v>0</v>
      </c>
      <c r="I94" s="662">
        <f t="shared" si="16"/>
        <v>0</v>
      </c>
      <c r="J94" s="663">
        <f t="shared" si="17"/>
        <v>0</v>
      </c>
    </row>
    <row r="95" spans="2:10" x14ac:dyDescent="0.25">
      <c r="B95" s="659">
        <f>Amnt_Deposited!B87</f>
        <v>2026</v>
      </c>
      <c r="C95" s="660">
        <f>Amnt_Deposited!D87</f>
        <v>0</v>
      </c>
      <c r="D95" s="661">
        <f>MCF!R94</f>
        <v>1</v>
      </c>
      <c r="E95" s="662">
        <f t="shared" si="12"/>
        <v>0</v>
      </c>
      <c r="F95" s="662">
        <f t="shared" si="13"/>
        <v>0</v>
      </c>
      <c r="G95" s="662">
        <f t="shared" si="14"/>
        <v>0</v>
      </c>
      <c r="H95" s="662">
        <f t="shared" si="15"/>
        <v>0</v>
      </c>
      <c r="I95" s="662">
        <f t="shared" si="16"/>
        <v>0</v>
      </c>
      <c r="J95" s="663">
        <f t="shared" si="17"/>
        <v>0</v>
      </c>
    </row>
    <row r="96" spans="2:10" x14ac:dyDescent="0.25">
      <c r="B96" s="659">
        <f>Amnt_Deposited!B88</f>
        <v>2027</v>
      </c>
      <c r="C96" s="660">
        <f>Amnt_Deposited!D88</f>
        <v>0</v>
      </c>
      <c r="D96" s="661">
        <f>MCF!R95</f>
        <v>1</v>
      </c>
      <c r="E96" s="662">
        <f t="shared" si="12"/>
        <v>0</v>
      </c>
      <c r="F96" s="662">
        <f t="shared" si="13"/>
        <v>0</v>
      </c>
      <c r="G96" s="662">
        <f t="shared" si="14"/>
        <v>0</v>
      </c>
      <c r="H96" s="662">
        <f t="shared" si="15"/>
        <v>0</v>
      </c>
      <c r="I96" s="662">
        <f t="shared" si="16"/>
        <v>0</v>
      </c>
      <c r="J96" s="663">
        <f t="shared" si="17"/>
        <v>0</v>
      </c>
    </row>
    <row r="97" spans="2:10" x14ac:dyDescent="0.25">
      <c r="B97" s="659">
        <f>Amnt_Deposited!B89</f>
        <v>2028</v>
      </c>
      <c r="C97" s="660">
        <f>Amnt_Deposited!D89</f>
        <v>0</v>
      </c>
      <c r="D97" s="661">
        <f>MCF!R96</f>
        <v>1</v>
      </c>
      <c r="E97" s="662">
        <f t="shared" si="12"/>
        <v>0</v>
      </c>
      <c r="F97" s="662">
        <f t="shared" si="13"/>
        <v>0</v>
      </c>
      <c r="G97" s="662">
        <f t="shared" si="14"/>
        <v>0</v>
      </c>
      <c r="H97" s="662">
        <f t="shared" si="15"/>
        <v>0</v>
      </c>
      <c r="I97" s="662">
        <f t="shared" si="16"/>
        <v>0</v>
      </c>
      <c r="J97" s="663">
        <f t="shared" si="17"/>
        <v>0</v>
      </c>
    </row>
    <row r="98" spans="2:10" x14ac:dyDescent="0.25">
      <c r="B98" s="659">
        <f>Amnt_Deposited!B90</f>
        <v>2029</v>
      </c>
      <c r="C98" s="660">
        <f>Amnt_Deposited!D90</f>
        <v>0</v>
      </c>
      <c r="D98" s="661">
        <f>MCF!R97</f>
        <v>1</v>
      </c>
      <c r="E98" s="662">
        <f t="shared" si="12"/>
        <v>0</v>
      </c>
      <c r="F98" s="662">
        <f t="shared" si="13"/>
        <v>0</v>
      </c>
      <c r="G98" s="662">
        <f t="shared" si="14"/>
        <v>0</v>
      </c>
      <c r="H98" s="662">
        <f t="shared" si="15"/>
        <v>0</v>
      </c>
      <c r="I98" s="662">
        <f t="shared" si="16"/>
        <v>0</v>
      </c>
      <c r="J98" s="663">
        <f t="shared" si="17"/>
        <v>0</v>
      </c>
    </row>
    <row r="99" spans="2:10" x14ac:dyDescent="0.25">
      <c r="B99" s="659">
        <f>Amnt_Deposited!B91</f>
        <v>2030</v>
      </c>
      <c r="C99" s="660">
        <f>Amnt_Deposited!D91</f>
        <v>0</v>
      </c>
      <c r="D99" s="661">
        <f>MCF!R98</f>
        <v>1</v>
      </c>
      <c r="E99" s="662">
        <f t="shared" si="12"/>
        <v>0</v>
      </c>
      <c r="F99" s="662">
        <f t="shared" si="13"/>
        <v>0</v>
      </c>
      <c r="G99" s="662">
        <f t="shared" si="14"/>
        <v>0</v>
      </c>
      <c r="H99" s="662">
        <f t="shared" si="15"/>
        <v>0</v>
      </c>
      <c r="I99" s="662">
        <f t="shared" si="16"/>
        <v>0</v>
      </c>
      <c r="J99" s="663">
        <f t="shared" si="17"/>
        <v>0</v>
      </c>
    </row>
    <row r="100" spans="2:10" x14ac:dyDescent="0.25">
      <c r="B100" s="659">
        <f>Amnt_Deposited!B92</f>
        <v>2031</v>
      </c>
      <c r="C100" s="660">
        <f>Amnt_Deposited!D92</f>
        <v>0</v>
      </c>
      <c r="D100" s="661">
        <f>MCF!R99</f>
        <v>1</v>
      </c>
      <c r="E100" s="662">
        <f t="shared" si="12"/>
        <v>0</v>
      </c>
      <c r="F100" s="662">
        <f t="shared" si="13"/>
        <v>0</v>
      </c>
      <c r="G100" s="662">
        <f t="shared" si="14"/>
        <v>0</v>
      </c>
      <c r="H100" s="662">
        <f t="shared" si="15"/>
        <v>0</v>
      </c>
      <c r="I100" s="662">
        <f t="shared" si="16"/>
        <v>0</v>
      </c>
      <c r="J100" s="663">
        <f t="shared" si="17"/>
        <v>0</v>
      </c>
    </row>
    <row r="101" spans="2:10" x14ac:dyDescent="0.25">
      <c r="B101" s="659">
        <f>Amnt_Deposited!B93</f>
        <v>2032</v>
      </c>
      <c r="C101" s="660">
        <f>Amnt_Deposited!D93</f>
        <v>0</v>
      </c>
      <c r="D101" s="661">
        <f>MCF!R100</f>
        <v>1</v>
      </c>
      <c r="E101" s="662">
        <f t="shared" si="12"/>
        <v>0</v>
      </c>
      <c r="F101" s="662">
        <f t="shared" si="13"/>
        <v>0</v>
      </c>
      <c r="G101" s="662">
        <f t="shared" si="14"/>
        <v>0</v>
      </c>
      <c r="H101" s="662">
        <f t="shared" si="15"/>
        <v>0</v>
      </c>
      <c r="I101" s="662">
        <f t="shared" si="16"/>
        <v>0</v>
      </c>
      <c r="J101" s="663">
        <f t="shared" si="17"/>
        <v>0</v>
      </c>
    </row>
    <row r="102" spans="2:10" x14ac:dyDescent="0.25">
      <c r="B102" s="659">
        <f>Amnt_Deposited!B94</f>
        <v>2033</v>
      </c>
      <c r="C102" s="660">
        <f>Amnt_Deposited!D94</f>
        <v>0</v>
      </c>
      <c r="D102" s="661">
        <f>MCF!R101</f>
        <v>1</v>
      </c>
      <c r="E102" s="662">
        <f t="shared" si="12"/>
        <v>0</v>
      </c>
      <c r="F102" s="662">
        <f t="shared" si="13"/>
        <v>0</v>
      </c>
      <c r="G102" s="662">
        <f t="shared" si="14"/>
        <v>0</v>
      </c>
      <c r="H102" s="662">
        <f t="shared" si="15"/>
        <v>0</v>
      </c>
      <c r="I102" s="662">
        <f t="shared" si="16"/>
        <v>0</v>
      </c>
      <c r="J102" s="663">
        <f t="shared" si="17"/>
        <v>0</v>
      </c>
    </row>
    <row r="103" spans="2:10" x14ac:dyDescent="0.25">
      <c r="B103" s="659">
        <f>Amnt_Deposited!B95</f>
        <v>2034</v>
      </c>
      <c r="C103" s="660">
        <f>Amnt_Deposited!D95</f>
        <v>0</v>
      </c>
      <c r="D103" s="661">
        <f>MCF!R102</f>
        <v>1</v>
      </c>
      <c r="E103" s="662">
        <f t="shared" si="12"/>
        <v>0</v>
      </c>
      <c r="F103" s="662">
        <f t="shared" si="13"/>
        <v>0</v>
      </c>
      <c r="G103" s="662">
        <f t="shared" si="14"/>
        <v>0</v>
      </c>
      <c r="H103" s="662">
        <f t="shared" si="15"/>
        <v>0</v>
      </c>
      <c r="I103" s="662">
        <f t="shared" si="16"/>
        <v>0</v>
      </c>
      <c r="J103" s="663">
        <f t="shared" si="17"/>
        <v>0</v>
      </c>
    </row>
    <row r="104" spans="2:10" x14ac:dyDescent="0.25">
      <c r="B104" s="659">
        <f>Amnt_Deposited!B96</f>
        <v>2035</v>
      </c>
      <c r="C104" s="660">
        <f>Amnt_Deposited!D96</f>
        <v>0</v>
      </c>
      <c r="D104" s="661">
        <f>MCF!R103</f>
        <v>1</v>
      </c>
      <c r="E104" s="662">
        <f t="shared" si="12"/>
        <v>0</v>
      </c>
      <c r="F104" s="662">
        <f t="shared" si="13"/>
        <v>0</v>
      </c>
      <c r="G104" s="662">
        <f t="shared" si="14"/>
        <v>0</v>
      </c>
      <c r="H104" s="662">
        <f t="shared" si="15"/>
        <v>0</v>
      </c>
      <c r="I104" s="662">
        <f t="shared" si="16"/>
        <v>0</v>
      </c>
      <c r="J104" s="663">
        <f t="shared" si="17"/>
        <v>0</v>
      </c>
    </row>
    <row r="105" spans="2:10" x14ac:dyDescent="0.25">
      <c r="B105" s="659">
        <f>Amnt_Deposited!B97</f>
        <v>2036</v>
      </c>
      <c r="C105" s="660">
        <f>Amnt_Deposited!D97</f>
        <v>0</v>
      </c>
      <c r="D105" s="661">
        <f>MCF!R104</f>
        <v>1</v>
      </c>
      <c r="E105" s="662">
        <f t="shared" si="12"/>
        <v>0</v>
      </c>
      <c r="F105" s="662">
        <f t="shared" si="13"/>
        <v>0</v>
      </c>
      <c r="G105" s="662">
        <f t="shared" si="14"/>
        <v>0</v>
      </c>
      <c r="H105" s="662">
        <f t="shared" si="15"/>
        <v>0</v>
      </c>
      <c r="I105" s="662">
        <f t="shared" si="16"/>
        <v>0</v>
      </c>
      <c r="J105" s="663">
        <f t="shared" si="17"/>
        <v>0</v>
      </c>
    </row>
    <row r="106" spans="2:10" x14ac:dyDescent="0.25">
      <c r="B106" s="659">
        <f>Amnt_Deposited!B98</f>
        <v>2037</v>
      </c>
      <c r="C106" s="660">
        <f>Amnt_Deposited!D98</f>
        <v>0</v>
      </c>
      <c r="D106" s="661">
        <f>MCF!R105</f>
        <v>1</v>
      </c>
      <c r="E106" s="662">
        <f t="shared" si="12"/>
        <v>0</v>
      </c>
      <c r="F106" s="662">
        <f t="shared" si="13"/>
        <v>0</v>
      </c>
      <c r="G106" s="662">
        <f t="shared" si="14"/>
        <v>0</v>
      </c>
      <c r="H106" s="662">
        <f t="shared" si="15"/>
        <v>0</v>
      </c>
      <c r="I106" s="662">
        <f t="shared" si="16"/>
        <v>0</v>
      </c>
      <c r="J106" s="663">
        <f t="shared" si="17"/>
        <v>0</v>
      </c>
    </row>
    <row r="107" spans="2:10" x14ac:dyDescent="0.25">
      <c r="B107" s="659">
        <f>Amnt_Deposited!B99</f>
        <v>2038</v>
      </c>
      <c r="C107" s="660">
        <f>Amnt_Deposited!D99</f>
        <v>0</v>
      </c>
      <c r="D107" s="661">
        <f>MCF!R106</f>
        <v>1</v>
      </c>
      <c r="E107" s="662">
        <f t="shared" si="12"/>
        <v>0</v>
      </c>
      <c r="F107" s="662">
        <f t="shared" si="13"/>
        <v>0</v>
      </c>
      <c r="G107" s="662">
        <f t="shared" si="14"/>
        <v>0</v>
      </c>
      <c r="H107" s="662">
        <f t="shared" si="15"/>
        <v>0</v>
      </c>
      <c r="I107" s="662">
        <f t="shared" si="16"/>
        <v>0</v>
      </c>
      <c r="J107" s="663">
        <f t="shared" si="17"/>
        <v>0</v>
      </c>
    </row>
    <row r="108" spans="2:10" x14ac:dyDescent="0.25">
      <c r="B108" s="659">
        <f>Amnt_Deposited!B100</f>
        <v>2039</v>
      </c>
      <c r="C108" s="660">
        <f>Amnt_Deposited!D100</f>
        <v>0</v>
      </c>
      <c r="D108" s="661">
        <f>MCF!R107</f>
        <v>1</v>
      </c>
      <c r="E108" s="662">
        <f t="shared" si="12"/>
        <v>0</v>
      </c>
      <c r="F108" s="662">
        <f t="shared" si="13"/>
        <v>0</v>
      </c>
      <c r="G108" s="662">
        <f t="shared" si="14"/>
        <v>0</v>
      </c>
      <c r="H108" s="662">
        <f t="shared" si="15"/>
        <v>0</v>
      </c>
      <c r="I108" s="662">
        <f t="shared" si="16"/>
        <v>0</v>
      </c>
      <c r="J108" s="663">
        <f t="shared" si="17"/>
        <v>0</v>
      </c>
    </row>
    <row r="109" spans="2:10" ht="15.75" thickBot="1" x14ac:dyDescent="0.3">
      <c r="B109" s="664">
        <f>Amnt_Deposited!B101</f>
        <v>2040</v>
      </c>
      <c r="C109" s="665">
        <f>Amnt_Deposited!D101</f>
        <v>0</v>
      </c>
      <c r="D109" s="666">
        <f>MCF!R108</f>
        <v>1</v>
      </c>
      <c r="E109" s="667">
        <f t="shared" si="12"/>
        <v>0</v>
      </c>
      <c r="F109" s="667">
        <f t="shared" si="13"/>
        <v>0</v>
      </c>
      <c r="G109" s="667">
        <f t="shared" si="14"/>
        <v>0</v>
      </c>
      <c r="H109" s="667">
        <f t="shared" si="15"/>
        <v>0</v>
      </c>
      <c r="I109" s="667">
        <f t="shared" si="16"/>
        <v>0</v>
      </c>
      <c r="J109" s="668">
        <f t="shared" si="17"/>
        <v>0</v>
      </c>
    </row>
  </sheetData>
  <pageMargins left="0.7" right="0.7" top="0.78740157499999996" bottom="0.78740157499999996"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4"/>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140625" style="281" customWidth="1"/>
    <col min="9" max="9" width="11.570312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140625" style="44" customWidth="1"/>
    <col min="265" max="265" width="11.570312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140625" style="44" customWidth="1"/>
    <col min="521" max="521" width="11.570312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140625" style="44" customWidth="1"/>
    <col min="777" max="777" width="11.570312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140625" style="44" customWidth="1"/>
    <col min="1033" max="1033" width="11.570312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140625" style="44" customWidth="1"/>
    <col min="1289" max="1289" width="11.570312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140625" style="44" customWidth="1"/>
    <col min="1545" max="1545" width="11.570312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140625" style="44" customWidth="1"/>
    <col min="1801" max="1801" width="11.570312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140625" style="44" customWidth="1"/>
    <col min="2057" max="2057" width="11.570312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140625" style="44" customWidth="1"/>
    <col min="2313" max="2313" width="11.570312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140625" style="44" customWidth="1"/>
    <col min="2569" max="2569" width="11.570312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140625" style="44" customWidth="1"/>
    <col min="2825" max="2825" width="11.570312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140625" style="44" customWidth="1"/>
    <col min="3081" max="3081" width="11.570312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140625" style="44" customWidth="1"/>
    <col min="3337" max="3337" width="11.570312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140625" style="44" customWidth="1"/>
    <col min="3593" max="3593" width="11.570312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140625" style="44" customWidth="1"/>
    <col min="3849" max="3849" width="11.570312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140625" style="44" customWidth="1"/>
    <col min="4105" max="4105" width="11.570312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140625" style="44" customWidth="1"/>
    <col min="4361" max="4361" width="11.570312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140625" style="44" customWidth="1"/>
    <col min="4617" max="4617" width="11.570312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140625" style="44" customWidth="1"/>
    <col min="4873" max="4873" width="11.570312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140625" style="44" customWidth="1"/>
    <col min="5129" max="5129" width="11.570312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140625" style="44" customWidth="1"/>
    <col min="5385" max="5385" width="11.570312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140625" style="44" customWidth="1"/>
    <col min="5641" max="5641" width="11.570312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140625" style="44" customWidth="1"/>
    <col min="5897" max="5897" width="11.570312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140625" style="44" customWidth="1"/>
    <col min="6153" max="6153" width="11.570312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140625" style="44" customWidth="1"/>
    <col min="6409" max="6409" width="11.570312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140625" style="44" customWidth="1"/>
    <col min="6665" max="6665" width="11.570312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140625" style="44" customWidth="1"/>
    <col min="6921" max="6921" width="11.570312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140625" style="44" customWidth="1"/>
    <col min="7177" max="7177" width="11.570312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140625" style="44" customWidth="1"/>
    <col min="7433" max="7433" width="11.570312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140625" style="44" customWidth="1"/>
    <col min="7689" max="7689" width="11.570312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140625" style="44" customWidth="1"/>
    <col min="7945" max="7945" width="11.570312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140625" style="44" customWidth="1"/>
    <col min="8201" max="8201" width="11.570312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140625" style="44" customWidth="1"/>
    <col min="8457" max="8457" width="11.570312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140625" style="44" customWidth="1"/>
    <col min="8713" max="8713" width="11.570312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140625" style="44" customWidth="1"/>
    <col min="8969" max="8969" width="11.570312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140625" style="44" customWidth="1"/>
    <col min="9225" max="9225" width="11.570312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140625" style="44" customWidth="1"/>
    <col min="9481" max="9481" width="11.570312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140625" style="44" customWidth="1"/>
    <col min="9737" max="9737" width="11.570312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140625" style="44" customWidth="1"/>
    <col min="9993" max="9993" width="11.570312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140625" style="44" customWidth="1"/>
    <col min="10249" max="10249" width="11.570312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140625" style="44" customWidth="1"/>
    <col min="10505" max="10505" width="11.570312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140625" style="44" customWidth="1"/>
    <col min="10761" max="10761" width="11.570312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140625" style="44" customWidth="1"/>
    <col min="11017" max="11017" width="11.570312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140625" style="44" customWidth="1"/>
    <col min="11273" max="11273" width="11.570312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140625" style="44" customWidth="1"/>
    <col min="11529" max="11529" width="11.570312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140625" style="44" customWidth="1"/>
    <col min="11785" max="11785" width="11.570312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140625" style="44" customWidth="1"/>
    <col min="12041" max="12041" width="11.570312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140625" style="44" customWidth="1"/>
    <col min="12297" max="12297" width="11.570312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140625" style="44" customWidth="1"/>
    <col min="12553" max="12553" width="11.570312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140625" style="44" customWidth="1"/>
    <col min="12809" max="12809" width="11.570312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140625" style="44" customWidth="1"/>
    <col min="13065" max="13065" width="11.570312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140625" style="44" customWidth="1"/>
    <col min="13321" max="13321" width="11.570312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140625" style="44" customWidth="1"/>
    <col min="13577" max="13577" width="11.570312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140625" style="44" customWidth="1"/>
    <col min="13833" max="13833" width="11.570312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140625" style="44" customWidth="1"/>
    <col min="14089" max="14089" width="11.570312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140625" style="44" customWidth="1"/>
    <col min="14345" max="14345" width="11.570312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140625" style="44" customWidth="1"/>
    <col min="14601" max="14601" width="11.570312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140625" style="44" customWidth="1"/>
    <col min="14857" max="14857" width="11.570312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140625" style="44" customWidth="1"/>
    <col min="15113" max="15113" width="11.570312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140625" style="44" customWidth="1"/>
    <col min="15369" max="15369" width="11.570312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140625" style="44" customWidth="1"/>
    <col min="15625" max="15625" width="11.570312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140625" style="44" customWidth="1"/>
    <col min="15881" max="15881" width="11.570312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140625" style="44" customWidth="1"/>
    <col min="16137" max="16137" width="11.5703125" style="44" customWidth="1"/>
    <col min="16138" max="16138" width="10.28515625" style="44" customWidth="1"/>
    <col min="16139" max="16384" width="9.140625" style="44"/>
  </cols>
  <sheetData>
    <row r="2" spans="1:10" ht="15.75" x14ac:dyDescent="0.25">
      <c r="B2" s="669" t="s">
        <v>285</v>
      </c>
      <c r="C2" s="585"/>
      <c r="D2" s="586"/>
      <c r="E2" s="587"/>
      <c r="F2" s="587"/>
      <c r="G2" s="587"/>
      <c r="H2" s="587"/>
      <c r="I2" s="587"/>
      <c r="J2" s="587"/>
    </row>
    <row r="3" spans="1:10" ht="15.75" x14ac:dyDescent="0.25">
      <c r="B3" s="588" t="str">
        <f>IF(Select2=2,"Having chosen the bulk waste option, this sheet applies only to Harvested Wood Products calculations","")</f>
        <v/>
      </c>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Parameters!M15</f>
        <v>0.4</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Parameters!M29</f>
        <v>0.06</v>
      </c>
      <c r="J8" s="609"/>
    </row>
    <row r="9" spans="1:10" ht="15.75" x14ac:dyDescent="0.3">
      <c r="D9" s="610" t="s">
        <v>260</v>
      </c>
      <c r="E9" s="611"/>
      <c r="F9" s="611"/>
      <c r="G9" s="612"/>
      <c r="H9" s="613" t="s">
        <v>261</v>
      </c>
      <c r="I9" s="614">
        <f>LN(2)/$I$8</f>
        <v>11.552453009332423</v>
      </c>
      <c r="J9" s="609"/>
    </row>
    <row r="10" spans="1:10" x14ac:dyDescent="0.25">
      <c r="D10" s="615" t="s">
        <v>262</v>
      </c>
      <c r="E10" s="616"/>
      <c r="F10" s="616"/>
      <c r="G10" s="617"/>
      <c r="H10" s="618" t="s">
        <v>263</v>
      </c>
      <c r="I10" s="619">
        <f>EXP(-$I$8)</f>
        <v>0.94176453358424872</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71"/>
      <c r="D18" s="649"/>
      <c r="E18" s="650"/>
      <c r="F18" s="651"/>
      <c r="G18" s="651"/>
      <c r="H18" s="651"/>
      <c r="I18" s="651"/>
      <c r="J18" s="652"/>
    </row>
    <row r="19" spans="2:10" x14ac:dyDescent="0.25">
      <c r="B19" s="672">
        <f>Amnt_Deposited!B11</f>
        <v>1950</v>
      </c>
      <c r="C19" s="673">
        <f>IF(Select2=1,Amnt_Deposited!E11,(Amnt_Deposited!E11+Amnt_Deposited!L11*Parameters!$E$46))</f>
        <v>745.56</v>
      </c>
      <c r="D19" s="674">
        <f>MCF!R18</f>
        <v>0.6</v>
      </c>
      <c r="E19" s="656">
        <f>C19*$I$6*DOCF*D19</f>
        <v>89.467199999999991</v>
      </c>
      <c r="F19" s="657">
        <f t="shared" ref="F19:F82" si="0">E19*$I$12</f>
        <v>89.467199999999991</v>
      </c>
      <c r="G19" s="657">
        <f>E19*(1-$I$12)</f>
        <v>0</v>
      </c>
      <c r="H19" s="657">
        <f>F19+H18*$I$10</f>
        <v>89.467199999999991</v>
      </c>
      <c r="I19" s="657">
        <f>H18*(1-$I$10)+G19</f>
        <v>0</v>
      </c>
      <c r="J19" s="658">
        <f>I19*CH4_fraction*conv</f>
        <v>0</v>
      </c>
    </row>
    <row r="20" spans="2:10" x14ac:dyDescent="0.25">
      <c r="B20" s="675">
        <f>Amnt_Deposited!B12</f>
        <v>1951</v>
      </c>
      <c r="C20" s="676">
        <f>IF(Select2=1,Amnt_Deposited!E12,(Amnt_Deposited!E12+Amnt_Deposited!L12*Parameters!$E$46))</f>
        <v>745.56</v>
      </c>
      <c r="D20" s="677">
        <f>MCF!R19</f>
        <v>0.6</v>
      </c>
      <c r="E20" s="662">
        <f t="shared" ref="E20:E83" si="1">C20*$I$6*DOCF*D20</f>
        <v>89.467199999999991</v>
      </c>
      <c r="F20" s="662">
        <f t="shared" si="0"/>
        <v>89.467199999999991</v>
      </c>
      <c r="G20" s="662">
        <f t="shared" ref="G20:G83" si="2">E20*(1-$I$12)</f>
        <v>0</v>
      </c>
      <c r="H20" s="662">
        <f t="shared" ref="H20:H83" si="3">F20+H19*$I$10</f>
        <v>173.72423587908867</v>
      </c>
      <c r="I20" s="662">
        <f t="shared" ref="I20:I83" si="4">H19*(1-$I$10)+G20</f>
        <v>5.2101641209113021</v>
      </c>
      <c r="J20" s="663">
        <f>I20*CH4_fraction*conv</f>
        <v>3.8207870220016216</v>
      </c>
    </row>
    <row r="21" spans="2:10" x14ac:dyDescent="0.25">
      <c r="B21" s="675">
        <f>Amnt_Deposited!B13</f>
        <v>1952</v>
      </c>
      <c r="C21" s="676">
        <f>IF(Select2=1,Amnt_Deposited!E13,(Amnt_Deposited!E13+Amnt_Deposited!L13*Parameters!$E$46))</f>
        <v>745.56</v>
      </c>
      <c r="D21" s="677">
        <f>MCF!R20</f>
        <v>0.6</v>
      </c>
      <c r="E21" s="662">
        <f t="shared" si="1"/>
        <v>89.467199999999991</v>
      </c>
      <c r="F21" s="662">
        <f t="shared" si="0"/>
        <v>89.467199999999991</v>
      </c>
      <c r="G21" s="662">
        <f t="shared" si="2"/>
        <v>0</v>
      </c>
      <c r="H21" s="662">
        <f t="shared" si="3"/>
        <v>253.07452397494993</v>
      </c>
      <c r="I21" s="662">
        <f t="shared" si="4"/>
        <v>10.116911904138721</v>
      </c>
      <c r="J21" s="663">
        <f t="shared" ref="J21:J84" si="5">I21*CH4_fraction*conv</f>
        <v>7.4190687297017295</v>
      </c>
    </row>
    <row r="22" spans="2:10" x14ac:dyDescent="0.25">
      <c r="B22" s="675">
        <f>Amnt_Deposited!B14</f>
        <v>1953</v>
      </c>
      <c r="C22" s="676">
        <f>IF(Select2=1,Amnt_Deposited!E14,(Amnt_Deposited!E14+Amnt_Deposited!L14*Parameters!$E$46))</f>
        <v>745.56</v>
      </c>
      <c r="D22" s="677">
        <f>MCF!R21</f>
        <v>0.6</v>
      </c>
      <c r="E22" s="662">
        <f t="shared" si="1"/>
        <v>89.467199999999991</v>
      </c>
      <c r="F22" s="662">
        <f t="shared" si="0"/>
        <v>89.467199999999991</v>
      </c>
      <c r="G22" s="662">
        <f t="shared" si="2"/>
        <v>0</v>
      </c>
      <c r="H22" s="662">
        <f t="shared" si="3"/>
        <v>327.80381103332445</v>
      </c>
      <c r="I22" s="662">
        <f t="shared" si="4"/>
        <v>14.737912941625439</v>
      </c>
      <c r="J22" s="663">
        <f t="shared" si="5"/>
        <v>10.807802823858655</v>
      </c>
    </row>
    <row r="23" spans="2:10" x14ac:dyDescent="0.25">
      <c r="B23" s="675">
        <f>Amnt_Deposited!B15</f>
        <v>1954</v>
      </c>
      <c r="C23" s="676">
        <f>IF(Select2=1,Amnt_Deposited!E15,(Amnt_Deposited!E15+Amnt_Deposited!L15*Parameters!$E$46))</f>
        <v>745.56</v>
      </c>
      <c r="D23" s="677">
        <f>MCF!R22</f>
        <v>0.6</v>
      </c>
      <c r="E23" s="662">
        <f t="shared" si="1"/>
        <v>89.467199999999991</v>
      </c>
      <c r="F23" s="662">
        <f t="shared" si="0"/>
        <v>89.467199999999991</v>
      </c>
      <c r="G23" s="662">
        <f t="shared" si="2"/>
        <v>0</v>
      </c>
      <c r="H23" s="662">
        <f t="shared" si="3"/>
        <v>398.18120320493802</v>
      </c>
      <c r="I23" s="662">
        <f t="shared" si="4"/>
        <v>19.089807828386444</v>
      </c>
      <c r="J23" s="663">
        <f t="shared" si="5"/>
        <v>13.999192407483394</v>
      </c>
    </row>
    <row r="24" spans="2:10" x14ac:dyDescent="0.25">
      <c r="B24" s="675">
        <f>Amnt_Deposited!B16</f>
        <v>1955</v>
      </c>
      <c r="C24" s="676">
        <f>IF(Select2=1,Amnt_Deposited!E16,(Amnt_Deposited!E16+Amnt_Deposited!L16*Parameters!$E$46))</f>
        <v>745.56</v>
      </c>
      <c r="D24" s="677">
        <f>MCF!R23</f>
        <v>0.6</v>
      </c>
      <c r="E24" s="662">
        <f t="shared" si="1"/>
        <v>89.467199999999991</v>
      </c>
      <c r="F24" s="662">
        <f t="shared" si="0"/>
        <v>89.467199999999991</v>
      </c>
      <c r="G24" s="662">
        <f t="shared" si="2"/>
        <v>0</v>
      </c>
      <c r="H24" s="662">
        <f t="shared" si="3"/>
        <v>464.46013511831342</v>
      </c>
      <c r="I24" s="662">
        <f t="shared" si="4"/>
        <v>23.188268086624603</v>
      </c>
      <c r="J24" s="663">
        <f t="shared" si="5"/>
        <v>17.004729930191374</v>
      </c>
    </row>
    <row r="25" spans="2:10" x14ac:dyDescent="0.25">
      <c r="B25" s="675">
        <f>Amnt_Deposited!B17</f>
        <v>1956</v>
      </c>
      <c r="C25" s="676">
        <f>IF(Select2=1,Amnt_Deposited!E17,(Amnt_Deposited!E17+Amnt_Deposited!L17*Parameters!$E$46))</f>
        <v>745.56</v>
      </c>
      <c r="D25" s="677">
        <f>MCF!R24</f>
        <v>0.6</v>
      </c>
      <c r="E25" s="662">
        <f t="shared" si="1"/>
        <v>89.467199999999991</v>
      </c>
      <c r="F25" s="662">
        <f t="shared" si="0"/>
        <v>89.467199999999991</v>
      </c>
      <c r="G25" s="662">
        <f t="shared" si="2"/>
        <v>0</v>
      </c>
      <c r="H25" s="662">
        <f t="shared" si="3"/>
        <v>526.87928251817561</v>
      </c>
      <c r="I25" s="662">
        <f t="shared" si="4"/>
        <v>27.048052600137844</v>
      </c>
      <c r="J25" s="663">
        <f t="shared" si="5"/>
        <v>19.835238573434417</v>
      </c>
    </row>
    <row r="26" spans="2:10" x14ac:dyDescent="0.25">
      <c r="B26" s="675">
        <f>Amnt_Deposited!B18</f>
        <v>1957</v>
      </c>
      <c r="C26" s="676">
        <f>IF(Select2=1,Amnt_Deposited!E18,(Amnt_Deposited!E18+Amnt_Deposited!L18*Parameters!$E$46))</f>
        <v>745.56</v>
      </c>
      <c r="D26" s="677">
        <f>MCF!R25</f>
        <v>0.6</v>
      </c>
      <c r="E26" s="662">
        <f t="shared" si="1"/>
        <v>89.467199999999991</v>
      </c>
      <c r="F26" s="662">
        <f t="shared" si="0"/>
        <v>89.467199999999991</v>
      </c>
      <c r="G26" s="662">
        <f t="shared" si="2"/>
        <v>0</v>
      </c>
      <c r="H26" s="662">
        <f t="shared" si="3"/>
        <v>585.66342175593331</v>
      </c>
      <c r="I26" s="662">
        <f t="shared" si="4"/>
        <v>30.683060762242345</v>
      </c>
      <c r="J26" s="663">
        <f t="shared" si="5"/>
        <v>22.500911225644387</v>
      </c>
    </row>
    <row r="27" spans="2:10" x14ac:dyDescent="0.25">
      <c r="B27" s="675">
        <f>Amnt_Deposited!B19</f>
        <v>1958</v>
      </c>
      <c r="C27" s="676">
        <f>IF(Select2=1,Amnt_Deposited!E19,(Amnt_Deposited!E19+Amnt_Deposited!L19*Parameters!$E$46))</f>
        <v>745.56</v>
      </c>
      <c r="D27" s="677">
        <f>MCF!R26</f>
        <v>0.6</v>
      </c>
      <c r="E27" s="662">
        <f t="shared" si="1"/>
        <v>89.467199999999991</v>
      </c>
      <c r="F27" s="662">
        <f t="shared" si="0"/>
        <v>89.467199999999991</v>
      </c>
      <c r="G27" s="662">
        <f t="shared" si="2"/>
        <v>0</v>
      </c>
      <c r="H27" s="662">
        <f t="shared" si="3"/>
        <v>641.02423922733169</v>
      </c>
      <c r="I27" s="662">
        <f t="shared" si="4"/>
        <v>34.106382528601635</v>
      </c>
      <c r="J27" s="663">
        <f t="shared" si="5"/>
        <v>25.011347187641199</v>
      </c>
    </row>
    <row r="28" spans="2:10" x14ac:dyDescent="0.25">
      <c r="B28" s="675">
        <f>Amnt_Deposited!B20</f>
        <v>1959</v>
      </c>
      <c r="C28" s="676">
        <f>IF(Select2=1,Amnt_Deposited!E20,(Amnt_Deposited!E20+Amnt_Deposited!L20*Parameters!$E$46))</f>
        <v>745.56</v>
      </c>
      <c r="D28" s="677">
        <f>MCF!R27</f>
        <v>0.6</v>
      </c>
      <c r="E28" s="662">
        <f t="shared" si="1"/>
        <v>89.467199999999991</v>
      </c>
      <c r="F28" s="662">
        <f t="shared" si="0"/>
        <v>89.467199999999991</v>
      </c>
      <c r="G28" s="662">
        <f t="shared" si="2"/>
        <v>0</v>
      </c>
      <c r="H28" s="662">
        <f t="shared" si="3"/>
        <v>693.16109367212584</v>
      </c>
      <c r="I28" s="662">
        <f t="shared" si="4"/>
        <v>37.330345555205788</v>
      </c>
      <c r="J28" s="663">
        <f t="shared" si="5"/>
        <v>27.375586740484245</v>
      </c>
    </row>
    <row r="29" spans="2:10" x14ac:dyDescent="0.25">
      <c r="B29" s="675">
        <f>Amnt_Deposited!B21</f>
        <v>1960</v>
      </c>
      <c r="C29" s="676">
        <f>IF(Select2=1,Amnt_Deposited!E21,(Amnt_Deposited!E21+Amnt_Deposited!L21*Parameters!$E$46))</f>
        <v>745.56</v>
      </c>
      <c r="D29" s="677">
        <f>MCF!R28</f>
        <v>0.6</v>
      </c>
      <c r="E29" s="662">
        <f t="shared" si="1"/>
        <v>89.467199999999991</v>
      </c>
      <c r="F29" s="662">
        <f t="shared" si="0"/>
        <v>89.467199999999991</v>
      </c>
      <c r="G29" s="662">
        <f t="shared" si="2"/>
        <v>0</v>
      </c>
      <c r="H29" s="662">
        <f t="shared" si="3"/>
        <v>742.26173408087743</v>
      </c>
      <c r="I29" s="662">
        <f t="shared" si="4"/>
        <v>40.36655959124851</v>
      </c>
      <c r="J29" s="663">
        <f t="shared" si="5"/>
        <v>29.602143700248909</v>
      </c>
    </row>
    <row r="30" spans="2:10" x14ac:dyDescent="0.25">
      <c r="B30" s="675">
        <f>Amnt_Deposited!B22</f>
        <v>1961</v>
      </c>
      <c r="C30" s="676">
        <f>IF(Select2=1,Amnt_Deposited!E22,(Amnt_Deposited!E22+Amnt_Deposited!L22*Parameters!$E$46))</f>
        <v>745.56</v>
      </c>
      <c r="D30" s="677">
        <f>MCF!R29</f>
        <v>0.6</v>
      </c>
      <c r="E30" s="662">
        <f t="shared" si="1"/>
        <v>89.467199999999991</v>
      </c>
      <c r="F30" s="662">
        <f t="shared" si="0"/>
        <v>89.467199999999991</v>
      </c>
      <c r="G30" s="662">
        <f t="shared" si="2"/>
        <v>0</v>
      </c>
      <c r="H30" s="662">
        <f t="shared" si="3"/>
        <v>788.50297579411313</v>
      </c>
      <c r="I30" s="662">
        <f t="shared" si="4"/>
        <v>43.225958286764246</v>
      </c>
      <c r="J30" s="663">
        <f t="shared" si="5"/>
        <v>31.699036076960446</v>
      </c>
    </row>
    <row r="31" spans="2:10" x14ac:dyDescent="0.25">
      <c r="B31" s="675">
        <f>Amnt_Deposited!B23</f>
        <v>1962</v>
      </c>
      <c r="C31" s="676">
        <f>IF(Select2=1,Amnt_Deposited!E23,(Amnt_Deposited!E23+Amnt_Deposited!L23*Parameters!$E$46))</f>
        <v>745.56</v>
      </c>
      <c r="D31" s="677">
        <f>MCF!R30</f>
        <v>0.6</v>
      </c>
      <c r="E31" s="662">
        <f t="shared" si="1"/>
        <v>89.467199999999991</v>
      </c>
      <c r="F31" s="662">
        <f t="shared" si="0"/>
        <v>89.467199999999991</v>
      </c>
      <c r="G31" s="662">
        <f t="shared" si="2"/>
        <v>0</v>
      </c>
      <c r="H31" s="662">
        <f t="shared" si="3"/>
        <v>832.0513372285352</v>
      </c>
      <c r="I31" s="662">
        <f t="shared" si="4"/>
        <v>45.918838565578021</v>
      </c>
      <c r="J31" s="663">
        <f t="shared" si="5"/>
        <v>33.673814948090552</v>
      </c>
    </row>
    <row r="32" spans="2:10" x14ac:dyDescent="0.25">
      <c r="B32" s="675">
        <f>Amnt_Deposited!B24</f>
        <v>1963</v>
      </c>
      <c r="C32" s="676">
        <f>IF(Select2=1,Amnt_Deposited!E24,(Amnt_Deposited!E24+Amnt_Deposited!L24*Parameters!$E$46))</f>
        <v>745.56</v>
      </c>
      <c r="D32" s="677">
        <f>MCF!R31</f>
        <v>0.6</v>
      </c>
      <c r="E32" s="662">
        <f t="shared" si="1"/>
        <v>89.467199999999991</v>
      </c>
      <c r="F32" s="662">
        <f t="shared" si="0"/>
        <v>89.467199999999991</v>
      </c>
      <c r="G32" s="662">
        <f t="shared" si="2"/>
        <v>0</v>
      </c>
      <c r="H32" s="662">
        <f t="shared" si="3"/>
        <v>873.06363952318179</v>
      </c>
      <c r="I32" s="662">
        <f t="shared" si="4"/>
        <v>48.454897705353304</v>
      </c>
      <c r="J32" s="663">
        <f t="shared" si="5"/>
        <v>35.533591650592427</v>
      </c>
    </row>
    <row r="33" spans="2:10" x14ac:dyDescent="0.25">
      <c r="B33" s="675">
        <f>Amnt_Deposited!B25</f>
        <v>1964</v>
      </c>
      <c r="C33" s="676">
        <f>IF(Select2=1,Amnt_Deposited!E25,(Amnt_Deposited!E25+Amnt_Deposited!L25*Parameters!$E$46))</f>
        <v>745.56</v>
      </c>
      <c r="D33" s="677">
        <f>MCF!R32</f>
        <v>0.6</v>
      </c>
      <c r="E33" s="662">
        <f t="shared" si="1"/>
        <v>89.467199999999991</v>
      </c>
      <c r="F33" s="662">
        <f t="shared" si="0"/>
        <v>89.467199999999991</v>
      </c>
      <c r="G33" s="662">
        <f t="shared" si="2"/>
        <v>0</v>
      </c>
      <c r="H33" s="662">
        <f t="shared" si="3"/>
        <v>911.68757126491596</v>
      </c>
      <c r="I33" s="662">
        <f t="shared" si="4"/>
        <v>50.843268258265837</v>
      </c>
      <c r="J33" s="663">
        <f t="shared" si="5"/>
        <v>37.285063389394949</v>
      </c>
    </row>
    <row r="34" spans="2:10" x14ac:dyDescent="0.25">
      <c r="B34" s="675">
        <f>Amnt_Deposited!B26</f>
        <v>1965</v>
      </c>
      <c r="C34" s="676">
        <f>IF(Select2=1,Amnt_Deposited!E26,(Amnt_Deposited!E26+Amnt_Deposited!L26*Parameters!$E$46))</f>
        <v>745.56</v>
      </c>
      <c r="D34" s="677">
        <f>MCF!R33</f>
        <v>0.6</v>
      </c>
      <c r="E34" s="662">
        <f t="shared" si="1"/>
        <v>89.467199999999991</v>
      </c>
      <c r="F34" s="662">
        <f t="shared" si="0"/>
        <v>89.467199999999991</v>
      </c>
      <c r="G34" s="662">
        <f t="shared" si="2"/>
        <v>0</v>
      </c>
      <c r="H34" s="662">
        <f t="shared" si="3"/>
        <v>948.06222032686014</v>
      </c>
      <c r="I34" s="662">
        <f t="shared" si="4"/>
        <v>53.092550938055865</v>
      </c>
      <c r="J34" s="663">
        <f t="shared" si="5"/>
        <v>38.934537354574303</v>
      </c>
    </row>
    <row r="35" spans="2:10" x14ac:dyDescent="0.25">
      <c r="B35" s="675">
        <f>Amnt_Deposited!B27</f>
        <v>1966</v>
      </c>
      <c r="C35" s="676">
        <f>IF(Select2=1,Amnt_Deposited!E27,(Amnt_Deposited!E27+Amnt_Deposited!L27*Parameters!$E$46))</f>
        <v>745.56</v>
      </c>
      <c r="D35" s="677">
        <f>MCF!R34</f>
        <v>0.6</v>
      </c>
      <c r="E35" s="662">
        <f t="shared" si="1"/>
        <v>89.467199999999991</v>
      </c>
      <c r="F35" s="662">
        <f t="shared" si="0"/>
        <v>89.467199999999991</v>
      </c>
      <c r="G35" s="662">
        <f t="shared" si="2"/>
        <v>0</v>
      </c>
      <c r="H35" s="662">
        <f t="shared" si="3"/>
        <v>982.31857473497257</v>
      </c>
      <c r="I35" s="662">
        <f t="shared" si="4"/>
        <v>55.210845591887455</v>
      </c>
      <c r="J35" s="663">
        <f t="shared" si="5"/>
        <v>40.487953434050802</v>
      </c>
    </row>
    <row r="36" spans="2:10" x14ac:dyDescent="0.25">
      <c r="B36" s="675">
        <f>Amnt_Deposited!B28</f>
        <v>1967</v>
      </c>
      <c r="C36" s="676">
        <f>IF(Select2=1,Amnt_Deposited!E28,(Amnt_Deposited!E28+Amnt_Deposited!L28*Parameters!$E$46))</f>
        <v>745.56</v>
      </c>
      <c r="D36" s="677">
        <f>MCF!R35</f>
        <v>0.6</v>
      </c>
      <c r="E36" s="662">
        <f t="shared" si="1"/>
        <v>89.467199999999991</v>
      </c>
      <c r="F36" s="662">
        <f t="shared" si="0"/>
        <v>89.467199999999991</v>
      </c>
      <c r="G36" s="662">
        <f t="shared" si="2"/>
        <v>0</v>
      </c>
      <c r="H36" s="662">
        <f t="shared" si="3"/>
        <v>1014.5799943664254</v>
      </c>
      <c r="I36" s="662">
        <f t="shared" si="4"/>
        <v>57.20578036854716</v>
      </c>
      <c r="J36" s="663">
        <f t="shared" si="5"/>
        <v>41.95090560360125</v>
      </c>
    </row>
    <row r="37" spans="2:10" x14ac:dyDescent="0.25">
      <c r="B37" s="675">
        <f>Amnt_Deposited!B29</f>
        <v>1968</v>
      </c>
      <c r="C37" s="676">
        <f>IF(Select2=1,Amnt_Deposited!E29,(Amnt_Deposited!E29+Amnt_Deposited!L29*Parameters!$E$46))</f>
        <v>745.56</v>
      </c>
      <c r="D37" s="677">
        <f>MCF!R36</f>
        <v>0.6</v>
      </c>
      <c r="E37" s="662">
        <f t="shared" si="1"/>
        <v>89.467199999999991</v>
      </c>
      <c r="F37" s="662">
        <f t="shared" si="0"/>
        <v>89.467199999999991</v>
      </c>
      <c r="G37" s="662">
        <f t="shared" si="2"/>
        <v>0</v>
      </c>
      <c r="H37" s="662">
        <f t="shared" si="3"/>
        <v>1044.9626551784063</v>
      </c>
      <c r="I37" s="662">
        <f t="shared" si="4"/>
        <v>59.084539188019086</v>
      </c>
      <c r="J37" s="663">
        <f t="shared" si="5"/>
        <v>43.328662071213998</v>
      </c>
    </row>
    <row r="38" spans="2:10" x14ac:dyDescent="0.25">
      <c r="B38" s="675">
        <f>Amnt_Deposited!B30</f>
        <v>1969</v>
      </c>
      <c r="C38" s="676">
        <f>IF(Select2=1,Amnt_Deposited!E30,(Amnt_Deposited!E30+Amnt_Deposited!L30*Parameters!$E$46))</f>
        <v>745.56</v>
      </c>
      <c r="D38" s="677">
        <f>MCF!R37</f>
        <v>0.6</v>
      </c>
      <c r="E38" s="662">
        <f t="shared" si="1"/>
        <v>89.467199999999991</v>
      </c>
      <c r="F38" s="662">
        <f t="shared" si="0"/>
        <v>89.467199999999991</v>
      </c>
      <c r="G38" s="662">
        <f t="shared" si="2"/>
        <v>0</v>
      </c>
      <c r="H38" s="662">
        <f t="shared" si="3"/>
        <v>1073.5759675670499</v>
      </c>
      <c r="I38" s="662">
        <f t="shared" si="4"/>
        <v>60.853887611356363</v>
      </c>
      <c r="J38" s="663">
        <f t="shared" si="5"/>
        <v>44.626184248328002</v>
      </c>
    </row>
    <row r="39" spans="2:10" x14ac:dyDescent="0.25">
      <c r="B39" s="675">
        <f>Amnt_Deposited!B31</f>
        <v>1970</v>
      </c>
      <c r="C39" s="676">
        <f>IF(Select2=1,Amnt_Deposited!E31,(Amnt_Deposited!E31+Amnt_Deposited!L31*Parameters!$E$46))</f>
        <v>745.56</v>
      </c>
      <c r="D39" s="677">
        <f>MCF!R38</f>
        <v>0.8</v>
      </c>
      <c r="E39" s="662">
        <f t="shared" si="1"/>
        <v>119.28960000000001</v>
      </c>
      <c r="F39" s="662">
        <f t="shared" si="0"/>
        <v>119.28960000000001</v>
      </c>
      <c r="G39" s="662">
        <f t="shared" si="2"/>
        <v>0</v>
      </c>
      <c r="H39" s="662">
        <f t="shared" si="3"/>
        <v>1130.3453703630414</v>
      </c>
      <c r="I39" s="662">
        <f t="shared" si="4"/>
        <v>62.520197204008625</v>
      </c>
      <c r="J39" s="663">
        <f t="shared" si="5"/>
        <v>45.84814461627299</v>
      </c>
    </row>
    <row r="40" spans="2:10" x14ac:dyDescent="0.25">
      <c r="B40" s="675">
        <f>Amnt_Deposited!B32</f>
        <v>1971</v>
      </c>
      <c r="C40" s="676">
        <f>IF(Select2=1,Amnt_Deposited!E32,(Amnt_Deposited!E32+Amnt_Deposited!L32*Parameters!$E$46))</f>
        <v>745.56</v>
      </c>
      <c r="D40" s="677">
        <f>MCF!R39</f>
        <v>0.8</v>
      </c>
      <c r="E40" s="662">
        <f t="shared" si="1"/>
        <v>119.28960000000001</v>
      </c>
      <c r="F40" s="662">
        <f t="shared" si="0"/>
        <v>119.28960000000001</v>
      </c>
      <c r="G40" s="662">
        <f t="shared" si="2"/>
        <v>0</v>
      </c>
      <c r="H40" s="662">
        <f t="shared" si="3"/>
        <v>1183.8087805090647</v>
      </c>
      <c r="I40" s="662">
        <f t="shared" si="4"/>
        <v>65.826189853976842</v>
      </c>
      <c r="J40" s="663">
        <f t="shared" si="5"/>
        <v>48.272539226249684</v>
      </c>
    </row>
    <row r="41" spans="2:10" x14ac:dyDescent="0.25">
      <c r="B41" s="675">
        <f>Amnt_Deposited!B33</f>
        <v>1972</v>
      </c>
      <c r="C41" s="676">
        <f>IF(Select2=1,Amnt_Deposited!E33,(Amnt_Deposited!E33+Amnt_Deposited!L33*Parameters!$E$46))</f>
        <v>745.56</v>
      </c>
      <c r="D41" s="677">
        <f>MCF!R40</f>
        <v>0.8</v>
      </c>
      <c r="E41" s="662">
        <f t="shared" si="1"/>
        <v>119.28960000000001</v>
      </c>
      <c r="F41" s="662">
        <f t="shared" si="0"/>
        <v>119.28960000000001</v>
      </c>
      <c r="G41" s="662">
        <f t="shared" si="2"/>
        <v>0</v>
      </c>
      <c r="H41" s="662">
        <f t="shared" si="3"/>
        <v>1234.1587240290576</v>
      </c>
      <c r="I41" s="662">
        <f t="shared" si="4"/>
        <v>68.939656480007116</v>
      </c>
      <c r="J41" s="663">
        <f t="shared" si="5"/>
        <v>50.55574808533855</v>
      </c>
    </row>
    <row r="42" spans="2:10" x14ac:dyDescent="0.25">
      <c r="B42" s="675">
        <f>Amnt_Deposited!B34</f>
        <v>1973</v>
      </c>
      <c r="C42" s="676">
        <f>IF(Select2=1,Amnt_Deposited!E34,(Amnt_Deposited!E34+Amnt_Deposited!L34*Parameters!$E$46))</f>
        <v>745.56</v>
      </c>
      <c r="D42" s="677">
        <f>MCF!R41</f>
        <v>0.8</v>
      </c>
      <c r="E42" s="662">
        <f t="shared" si="1"/>
        <v>119.28960000000001</v>
      </c>
      <c r="F42" s="662">
        <f t="shared" si="0"/>
        <v>119.28960000000001</v>
      </c>
      <c r="G42" s="662">
        <f t="shared" si="2"/>
        <v>0</v>
      </c>
      <c r="H42" s="662">
        <f t="shared" si="3"/>
        <v>1281.5765151041569</v>
      </c>
      <c r="I42" s="662">
        <f t="shared" si="4"/>
        <v>71.871808924900634</v>
      </c>
      <c r="J42" s="663">
        <f t="shared" si="5"/>
        <v>52.705993211593807</v>
      </c>
    </row>
    <row r="43" spans="2:10" x14ac:dyDescent="0.25">
      <c r="B43" s="675">
        <f>Amnt_Deposited!B35</f>
        <v>1974</v>
      </c>
      <c r="C43" s="676">
        <f>IF(Select2=1,Amnt_Deposited!E35,(Amnt_Deposited!E35+Amnt_Deposited!L35*Parameters!$E$46))</f>
        <v>745.56</v>
      </c>
      <c r="D43" s="677">
        <f>MCF!R42</f>
        <v>0.8</v>
      </c>
      <c r="E43" s="662">
        <f t="shared" si="1"/>
        <v>119.28960000000001</v>
      </c>
      <c r="F43" s="662">
        <f t="shared" si="0"/>
        <v>119.28960000000001</v>
      </c>
      <c r="G43" s="662">
        <f t="shared" si="2"/>
        <v>0</v>
      </c>
      <c r="H43" s="662">
        <f t="shared" si="3"/>
        <v>1326.2329089995933</v>
      </c>
      <c r="I43" s="662">
        <f t="shared" si="4"/>
        <v>74.633206104563698</v>
      </c>
      <c r="J43" s="663">
        <f t="shared" si="5"/>
        <v>54.731017810013384</v>
      </c>
    </row>
    <row r="44" spans="2:10" x14ac:dyDescent="0.25">
      <c r="B44" s="675">
        <f>Amnt_Deposited!B36</f>
        <v>1975</v>
      </c>
      <c r="C44" s="676">
        <f>IF(Select2=1,Amnt_Deposited!E36,(Amnt_Deposited!E36+Amnt_Deposited!L36*Parameters!$E$46))</f>
        <v>745.56</v>
      </c>
      <c r="D44" s="677">
        <f>MCF!R43</f>
        <v>0.8</v>
      </c>
      <c r="E44" s="662">
        <f t="shared" si="1"/>
        <v>119.28960000000001</v>
      </c>
      <c r="F44" s="662">
        <f t="shared" si="0"/>
        <v>119.28960000000001</v>
      </c>
      <c r="G44" s="662">
        <f t="shared" si="2"/>
        <v>0</v>
      </c>
      <c r="H44" s="662">
        <f t="shared" si="3"/>
        <v>1368.2887169680835</v>
      </c>
      <c r="I44" s="662">
        <f t="shared" si="4"/>
        <v>77.233792031509935</v>
      </c>
      <c r="J44" s="663">
        <f t="shared" si="5"/>
        <v>56.638114156440622</v>
      </c>
    </row>
    <row r="45" spans="2:10" x14ac:dyDescent="0.25">
      <c r="B45" s="675">
        <f>Amnt_Deposited!B37</f>
        <v>1976</v>
      </c>
      <c r="C45" s="676">
        <f>IF(Select2=1,Amnt_Deposited!E37,(Amnt_Deposited!E37+Amnt_Deposited!L37*Parameters!$E$46))</f>
        <v>745.56</v>
      </c>
      <c r="D45" s="677">
        <f>MCF!R44</f>
        <v>0.8</v>
      </c>
      <c r="E45" s="662">
        <f t="shared" si="1"/>
        <v>119.28960000000001</v>
      </c>
      <c r="F45" s="662">
        <f t="shared" si="0"/>
        <v>119.28960000000001</v>
      </c>
      <c r="G45" s="662">
        <f t="shared" si="2"/>
        <v>0</v>
      </c>
      <c r="H45" s="662">
        <f t="shared" si="3"/>
        <v>1407.8953853440373</v>
      </c>
      <c r="I45" s="662">
        <f t="shared" si="4"/>
        <v>79.682931624046233</v>
      </c>
      <c r="J45" s="663">
        <f t="shared" si="5"/>
        <v>58.434149857633912</v>
      </c>
    </row>
    <row r="46" spans="2:10" x14ac:dyDescent="0.25">
      <c r="B46" s="675">
        <f>Amnt_Deposited!B38</f>
        <v>1977</v>
      </c>
      <c r="C46" s="676">
        <f>IF(Select2=1,Amnt_Deposited!E38,(Amnt_Deposited!E38+Amnt_Deposited!L38*Parameters!$E$46))</f>
        <v>745.56</v>
      </c>
      <c r="D46" s="677">
        <f>MCF!R45</f>
        <v>0.8</v>
      </c>
      <c r="E46" s="662">
        <f t="shared" si="1"/>
        <v>119.28960000000001</v>
      </c>
      <c r="F46" s="662">
        <f t="shared" si="0"/>
        <v>119.28960000000001</v>
      </c>
      <c r="G46" s="662">
        <f t="shared" si="2"/>
        <v>0</v>
      </c>
      <c r="H46" s="662">
        <f t="shared" si="3"/>
        <v>1445.1955409139434</v>
      </c>
      <c r="I46" s="662">
        <f t="shared" si="4"/>
        <v>81.989444430093897</v>
      </c>
      <c r="J46" s="663">
        <f t="shared" si="5"/>
        <v>60.125592582068862</v>
      </c>
    </row>
    <row r="47" spans="2:10" x14ac:dyDescent="0.25">
      <c r="B47" s="675">
        <f>Amnt_Deposited!B39</f>
        <v>1978</v>
      </c>
      <c r="C47" s="676">
        <f>IF(Select2=1,Amnt_Deposited!E39,(Amnt_Deposited!E39+Amnt_Deposited!L39*Parameters!$E$46))</f>
        <v>745.56</v>
      </c>
      <c r="D47" s="677">
        <f>MCF!R46</f>
        <v>0.8</v>
      </c>
      <c r="E47" s="662">
        <f t="shared" si="1"/>
        <v>119.28960000000001</v>
      </c>
      <c r="F47" s="662">
        <f t="shared" si="0"/>
        <v>119.28960000000001</v>
      </c>
      <c r="G47" s="662">
        <f t="shared" si="2"/>
        <v>0</v>
      </c>
      <c r="H47" s="662">
        <f t="shared" si="3"/>
        <v>1480.3235045268561</v>
      </c>
      <c r="I47" s="662">
        <f t="shared" si="4"/>
        <v>84.161636387087455</v>
      </c>
      <c r="J47" s="663">
        <f t="shared" si="5"/>
        <v>61.718533350530805</v>
      </c>
    </row>
    <row r="48" spans="2:10" x14ac:dyDescent="0.25">
      <c r="B48" s="675">
        <f>Amnt_Deposited!B40</f>
        <v>1979</v>
      </c>
      <c r="C48" s="676">
        <f>IF(Select2=1,Amnt_Deposited!E40,(Amnt_Deposited!E40+Amnt_Deposited!L40*Parameters!$E$46))</f>
        <v>745.56</v>
      </c>
      <c r="D48" s="677">
        <f>MCF!R47</f>
        <v>0.8</v>
      </c>
      <c r="E48" s="662">
        <f t="shared" si="1"/>
        <v>119.28960000000001</v>
      </c>
      <c r="F48" s="662">
        <f t="shared" si="0"/>
        <v>119.28960000000001</v>
      </c>
      <c r="G48" s="662">
        <f t="shared" si="2"/>
        <v>0</v>
      </c>
      <c r="H48" s="662">
        <f t="shared" si="3"/>
        <v>1513.4057747945353</v>
      </c>
      <c r="I48" s="662">
        <f t="shared" si="4"/>
        <v>86.207329732320972</v>
      </c>
      <c r="J48" s="663">
        <f t="shared" si="5"/>
        <v>63.218708470368718</v>
      </c>
    </row>
    <row r="49" spans="2:10" x14ac:dyDescent="0.25">
      <c r="B49" s="675">
        <f>Amnt_Deposited!B41</f>
        <v>1980</v>
      </c>
      <c r="C49" s="676">
        <f>IF(Select2=1,Amnt_Deposited!E41,(Amnt_Deposited!E41+Amnt_Deposited!L41*Parameters!$E$46))</f>
        <v>745.56</v>
      </c>
      <c r="D49" s="677">
        <f>MCF!R48</f>
        <v>0.9</v>
      </c>
      <c r="E49" s="662">
        <f t="shared" si="1"/>
        <v>134.20079999999999</v>
      </c>
      <c r="F49" s="662">
        <f t="shared" si="0"/>
        <v>134.20079999999999</v>
      </c>
      <c r="G49" s="662">
        <f t="shared" si="2"/>
        <v>0</v>
      </c>
      <c r="H49" s="662">
        <f t="shared" si="3"/>
        <v>1559.4726836230841</v>
      </c>
      <c r="I49" s="662">
        <f t="shared" si="4"/>
        <v>88.133891171451211</v>
      </c>
      <c r="J49" s="663">
        <f t="shared" si="5"/>
        <v>64.631520192397559</v>
      </c>
    </row>
    <row r="50" spans="2:10" x14ac:dyDescent="0.25">
      <c r="B50" s="675">
        <f>Amnt_Deposited!B42</f>
        <v>1981</v>
      </c>
      <c r="C50" s="676">
        <f>IF(Select2=1,Amnt_Deposited!E42,(Amnt_Deposited!E42+Amnt_Deposited!L42*Parameters!$E$46))</f>
        <v>745.56</v>
      </c>
      <c r="D50" s="677">
        <f>MCF!R49</f>
        <v>0.9</v>
      </c>
      <c r="E50" s="662">
        <f t="shared" si="1"/>
        <v>134.20079999999999</v>
      </c>
      <c r="F50" s="662">
        <f t="shared" si="0"/>
        <v>134.20079999999999</v>
      </c>
      <c r="G50" s="662">
        <f t="shared" si="2"/>
        <v>0</v>
      </c>
      <c r="H50" s="662">
        <f t="shared" si="3"/>
        <v>1602.8568645296705</v>
      </c>
      <c r="I50" s="662">
        <f t="shared" si="4"/>
        <v>90.816619093413635</v>
      </c>
      <c r="J50" s="663">
        <f t="shared" si="5"/>
        <v>66.598854001836671</v>
      </c>
    </row>
    <row r="51" spans="2:10" x14ac:dyDescent="0.25">
      <c r="B51" s="675">
        <f>Amnt_Deposited!B43</f>
        <v>1982</v>
      </c>
      <c r="C51" s="676">
        <f>IF(Select2=1,Amnt_Deposited!E43,(Amnt_Deposited!E43+Amnt_Deposited!L43*Parameters!$E$46))</f>
        <v>745.56</v>
      </c>
      <c r="D51" s="677">
        <f>MCF!R50</f>
        <v>0.9</v>
      </c>
      <c r="E51" s="662">
        <f t="shared" si="1"/>
        <v>134.20079999999999</v>
      </c>
      <c r="F51" s="662">
        <f t="shared" si="0"/>
        <v>134.20079999999999</v>
      </c>
      <c r="G51" s="662">
        <f t="shared" si="2"/>
        <v>0</v>
      </c>
      <c r="H51" s="662">
        <f t="shared" si="3"/>
        <v>1643.7145474260965</v>
      </c>
      <c r="I51" s="662">
        <f t="shared" si="4"/>
        <v>93.343117103574031</v>
      </c>
      <c r="J51" s="663">
        <f t="shared" si="5"/>
        <v>68.451619209287628</v>
      </c>
    </row>
    <row r="52" spans="2:10" x14ac:dyDescent="0.25">
      <c r="B52" s="675">
        <f>Amnt_Deposited!B44</f>
        <v>1983</v>
      </c>
      <c r="C52" s="676">
        <f>IF(Select2=1,Amnt_Deposited!E44,(Amnt_Deposited!E44+Amnt_Deposited!L44*Parameters!$E$46))</f>
        <v>745.56</v>
      </c>
      <c r="D52" s="677">
        <f>MCF!R51</f>
        <v>0.9</v>
      </c>
      <c r="E52" s="662">
        <f t="shared" si="1"/>
        <v>134.20079999999999</v>
      </c>
      <c r="F52" s="662">
        <f t="shared" si="0"/>
        <v>134.20079999999999</v>
      </c>
      <c r="G52" s="662">
        <f t="shared" si="2"/>
        <v>0</v>
      </c>
      <c r="H52" s="662">
        <f t="shared" si="3"/>
        <v>1682.1928641023824</v>
      </c>
      <c r="I52" s="662">
        <f t="shared" si="4"/>
        <v>95.722483323714258</v>
      </c>
      <c r="J52" s="663">
        <f t="shared" si="5"/>
        <v>70.196487770723792</v>
      </c>
    </row>
    <row r="53" spans="2:10" x14ac:dyDescent="0.25">
      <c r="B53" s="675">
        <f>Amnt_Deposited!B45</f>
        <v>1984</v>
      </c>
      <c r="C53" s="676">
        <f>IF(Select2=1,Amnt_Deposited!E45,(Amnt_Deposited!E45+Amnt_Deposited!L45*Parameters!$E$46))</f>
        <v>745.56</v>
      </c>
      <c r="D53" s="677">
        <f>MCF!R52</f>
        <v>0.9</v>
      </c>
      <c r="E53" s="662">
        <f t="shared" si="1"/>
        <v>134.20079999999999</v>
      </c>
      <c r="F53" s="662">
        <f t="shared" si="0"/>
        <v>134.20079999999999</v>
      </c>
      <c r="G53" s="662">
        <f t="shared" si="2"/>
        <v>0</v>
      </c>
      <c r="H53" s="662">
        <f t="shared" si="3"/>
        <v>1718.4303780601317</v>
      </c>
      <c r="I53" s="662">
        <f t="shared" si="4"/>
        <v>97.963286042250743</v>
      </c>
      <c r="J53" s="663">
        <f t="shared" si="5"/>
        <v>71.83974309765054</v>
      </c>
    </row>
    <row r="54" spans="2:10" x14ac:dyDescent="0.25">
      <c r="B54" s="675">
        <f>Amnt_Deposited!B46</f>
        <v>1985</v>
      </c>
      <c r="C54" s="676">
        <f>IF(Select2=1,Amnt_Deposited!E46,(Amnt_Deposited!E46+Amnt_Deposited!L46*Parameters!$E$46))</f>
        <v>745.56</v>
      </c>
      <c r="D54" s="677">
        <f>MCF!R53</f>
        <v>0.9</v>
      </c>
      <c r="E54" s="662">
        <f t="shared" si="1"/>
        <v>134.20079999999999</v>
      </c>
      <c r="F54" s="662">
        <f t="shared" si="0"/>
        <v>134.20079999999999</v>
      </c>
      <c r="G54" s="662">
        <f t="shared" si="2"/>
        <v>0</v>
      </c>
      <c r="H54" s="662">
        <f t="shared" si="3"/>
        <v>1752.5575834908043</v>
      </c>
      <c r="I54" s="662">
        <f t="shared" si="4"/>
        <v>100.07359456932758</v>
      </c>
      <c r="J54" s="663">
        <f t="shared" si="5"/>
        <v>73.387302684173562</v>
      </c>
    </row>
    <row r="55" spans="2:10" x14ac:dyDescent="0.25">
      <c r="B55" s="675">
        <f>Amnt_Deposited!B47</f>
        <v>1986</v>
      </c>
      <c r="C55" s="676">
        <f>IF(Select2=1,Amnt_Deposited!E47,(Amnt_Deposited!E47+Amnt_Deposited!L47*Parameters!$E$46))</f>
        <v>745.56</v>
      </c>
      <c r="D55" s="677">
        <f>MCF!R54</f>
        <v>0.9</v>
      </c>
      <c r="E55" s="662">
        <f t="shared" si="1"/>
        <v>134.20079999999999</v>
      </c>
      <c r="F55" s="662">
        <f t="shared" si="0"/>
        <v>134.20079999999999</v>
      </c>
      <c r="G55" s="662">
        <f t="shared" si="2"/>
        <v>0</v>
      </c>
      <c r="H55" s="662">
        <f t="shared" si="3"/>
        <v>1784.6973751957555</v>
      </c>
      <c r="I55" s="662">
        <f t="shared" si="4"/>
        <v>102.06100829504895</v>
      </c>
      <c r="J55" s="663">
        <f t="shared" si="5"/>
        <v>74.844739416369237</v>
      </c>
    </row>
    <row r="56" spans="2:10" x14ac:dyDescent="0.25">
      <c r="B56" s="675">
        <f>Amnt_Deposited!B48</f>
        <v>1987</v>
      </c>
      <c r="C56" s="676">
        <f>IF(Select2=1,Amnt_Deposited!E48,(Amnt_Deposited!E48+Amnt_Deposited!L48*Parameters!$E$46))</f>
        <v>745.56</v>
      </c>
      <c r="D56" s="677">
        <f>MCF!R55</f>
        <v>0.9</v>
      </c>
      <c r="E56" s="662">
        <f t="shared" si="1"/>
        <v>134.20079999999999</v>
      </c>
      <c r="F56" s="662">
        <f t="shared" si="0"/>
        <v>134.20079999999999</v>
      </c>
      <c r="G56" s="662">
        <f t="shared" si="2"/>
        <v>0</v>
      </c>
      <c r="H56" s="662">
        <f t="shared" si="3"/>
        <v>1814.9654911402638</v>
      </c>
      <c r="I56" s="662">
        <f t="shared" si="4"/>
        <v>103.93268405549188</v>
      </c>
      <c r="J56" s="663">
        <f t="shared" si="5"/>
        <v>76.217301640694046</v>
      </c>
    </row>
    <row r="57" spans="2:10" x14ac:dyDescent="0.25">
      <c r="B57" s="675">
        <f>Amnt_Deposited!B49</f>
        <v>1988</v>
      </c>
      <c r="C57" s="676">
        <f>IF(Select2=1,Amnt_Deposited!E49,(Amnt_Deposited!E49+Amnt_Deposited!L49*Parameters!$E$46))</f>
        <v>745.56</v>
      </c>
      <c r="D57" s="677">
        <f>MCF!R56</f>
        <v>0.9</v>
      </c>
      <c r="E57" s="662">
        <f t="shared" si="1"/>
        <v>134.20079999999999</v>
      </c>
      <c r="F57" s="662">
        <f t="shared" si="0"/>
        <v>134.20079999999999</v>
      </c>
      <c r="G57" s="662">
        <f t="shared" si="2"/>
        <v>0</v>
      </c>
      <c r="H57" s="662">
        <f t="shared" si="3"/>
        <v>1843.4709292352175</v>
      </c>
      <c r="I57" s="662">
        <f t="shared" si="4"/>
        <v>105.69536190504635</v>
      </c>
      <c r="J57" s="663">
        <f t="shared" si="5"/>
        <v>77.50993206370066</v>
      </c>
    </row>
    <row r="58" spans="2:10" x14ac:dyDescent="0.25">
      <c r="B58" s="675">
        <f>Amnt_Deposited!B50</f>
        <v>1989</v>
      </c>
      <c r="C58" s="676">
        <f>IF(Select2=1,Amnt_Deposited!E50,(Amnt_Deposited!E50+Amnt_Deposited!L50*Parameters!$E$46))</f>
        <v>745.56</v>
      </c>
      <c r="D58" s="677">
        <f>MCF!R57</f>
        <v>0.9</v>
      </c>
      <c r="E58" s="662">
        <f t="shared" si="1"/>
        <v>134.20079999999999</v>
      </c>
      <c r="F58" s="662">
        <f t="shared" si="0"/>
        <v>134.20079999999999</v>
      </c>
      <c r="G58" s="662">
        <f t="shared" si="2"/>
        <v>0</v>
      </c>
      <c r="H58" s="662">
        <f t="shared" si="3"/>
        <v>1870.3163398473262</v>
      </c>
      <c r="I58" s="662">
        <f t="shared" si="4"/>
        <v>107.35538938789131</v>
      </c>
      <c r="J58" s="663">
        <f t="shared" si="5"/>
        <v>78.727285551120289</v>
      </c>
    </row>
    <row r="59" spans="2:10" x14ac:dyDescent="0.25">
      <c r="B59" s="675">
        <f>Amnt_Deposited!B51</f>
        <v>1990</v>
      </c>
      <c r="C59" s="676">
        <f>IF(Select2=1,Amnt_Deposited!E51,(Amnt_Deposited!E51+Amnt_Deposited!L51*Parameters!$E$46))</f>
        <v>745.56</v>
      </c>
      <c r="D59" s="677">
        <f>MCF!R58</f>
        <v>1</v>
      </c>
      <c r="E59" s="662">
        <f t="shared" si="1"/>
        <v>149.11199999999999</v>
      </c>
      <c r="F59" s="662">
        <f t="shared" si="0"/>
        <v>149.11199999999999</v>
      </c>
      <c r="G59" s="662">
        <f t="shared" si="2"/>
        <v>0</v>
      </c>
      <c r="H59" s="662">
        <f t="shared" si="3"/>
        <v>1910.5095954513165</v>
      </c>
      <c r="I59" s="662">
        <f t="shared" si="4"/>
        <v>108.91874439600981</v>
      </c>
      <c r="J59" s="663">
        <f t="shared" si="5"/>
        <v>79.873745890407207</v>
      </c>
    </row>
    <row r="60" spans="2:10" x14ac:dyDescent="0.25">
      <c r="B60" s="675">
        <f>Amnt_Deposited!B52</f>
        <v>1991</v>
      </c>
      <c r="C60" s="676">
        <f>IF(Select2=1,Amnt_Deposited!E52,(Amnt_Deposited!E52+Amnt_Deposited!L52*Parameters!$E$46))</f>
        <v>465.1902</v>
      </c>
      <c r="D60" s="677">
        <f>MCF!R59</f>
        <v>1</v>
      </c>
      <c r="E60" s="662">
        <f t="shared" si="1"/>
        <v>93.038040000000009</v>
      </c>
      <c r="F60" s="662">
        <f t="shared" si="0"/>
        <v>93.038040000000009</v>
      </c>
      <c r="G60" s="662">
        <f t="shared" si="2"/>
        <v>0</v>
      </c>
      <c r="H60" s="662">
        <f t="shared" si="3"/>
        <v>1892.2882180684408</v>
      </c>
      <c r="I60" s="662">
        <f t="shared" si="4"/>
        <v>111.25941738287571</v>
      </c>
      <c r="J60" s="663">
        <f t="shared" si="5"/>
        <v>81.590239414108851</v>
      </c>
    </row>
    <row r="61" spans="2:10" x14ac:dyDescent="0.25">
      <c r="B61" s="675">
        <f>Amnt_Deposited!B53</f>
        <v>1992</v>
      </c>
      <c r="C61" s="676">
        <f>IF(Select2=1,Amnt_Deposited!E53,(Amnt_Deposited!E53+Amnt_Deposited!L53*Parameters!$E$46))</f>
        <v>468.52560000000005</v>
      </c>
      <c r="D61" s="677">
        <f>MCF!R60</f>
        <v>1</v>
      </c>
      <c r="E61" s="662">
        <f t="shared" si="1"/>
        <v>93.705120000000022</v>
      </c>
      <c r="F61" s="662">
        <f t="shared" si="0"/>
        <v>93.705120000000022</v>
      </c>
      <c r="G61" s="662">
        <f t="shared" si="2"/>
        <v>0</v>
      </c>
      <c r="H61" s="662">
        <f t="shared" si="3"/>
        <v>1875.7950510961944</v>
      </c>
      <c r="I61" s="662">
        <f t="shared" si="4"/>
        <v>110.19828697224652</v>
      </c>
      <c r="J61" s="663">
        <f t="shared" si="5"/>
        <v>80.812077112980788</v>
      </c>
    </row>
    <row r="62" spans="2:10" x14ac:dyDescent="0.25">
      <c r="B62" s="675">
        <f>Amnt_Deposited!B54</f>
        <v>1993</v>
      </c>
      <c r="C62" s="676">
        <f>IF(Select2=1,Amnt_Deposited!E54,(Amnt_Deposited!E54+Amnt_Deposited!L54*Parameters!$E$46))</f>
        <v>487.36079999999998</v>
      </c>
      <c r="D62" s="677">
        <f>MCF!R61</f>
        <v>1</v>
      </c>
      <c r="E62" s="662">
        <f t="shared" si="1"/>
        <v>97.472160000000002</v>
      </c>
      <c r="F62" s="662">
        <f t="shared" si="0"/>
        <v>97.472160000000002</v>
      </c>
      <c r="G62" s="662">
        <f t="shared" si="2"/>
        <v>0</v>
      </c>
      <c r="H62" s="662">
        <f t="shared" si="3"/>
        <v>1864.0294113952496</v>
      </c>
      <c r="I62" s="662">
        <f t="shared" si="4"/>
        <v>109.23779970094488</v>
      </c>
      <c r="J62" s="663">
        <f t="shared" si="5"/>
        <v>80.107719780692918</v>
      </c>
    </row>
    <row r="63" spans="2:10" x14ac:dyDescent="0.25">
      <c r="B63" s="675">
        <f>Amnt_Deposited!B55</f>
        <v>1994</v>
      </c>
      <c r="C63" s="676">
        <f>IF(Select2=1,Amnt_Deposited!E55,(Amnt_Deposited!E55+Amnt_Deposited!L55*Parameters!$E$46))</f>
        <v>498.93660000000006</v>
      </c>
      <c r="D63" s="677">
        <f>MCF!R62</f>
        <v>1</v>
      </c>
      <c r="E63" s="662">
        <f t="shared" si="1"/>
        <v>99.787320000000022</v>
      </c>
      <c r="F63" s="662">
        <f t="shared" si="0"/>
        <v>99.787320000000022</v>
      </c>
      <c r="G63" s="662">
        <f t="shared" si="2"/>
        <v>0</v>
      </c>
      <c r="H63" s="662">
        <f t="shared" si="3"/>
        <v>1855.2641092099689</v>
      </c>
      <c r="I63" s="662">
        <f t="shared" si="4"/>
        <v>108.55262218528068</v>
      </c>
      <c r="J63" s="663">
        <f t="shared" si="5"/>
        <v>79.605256269205839</v>
      </c>
    </row>
    <row r="64" spans="2:10" x14ac:dyDescent="0.25">
      <c r="B64" s="675">
        <f>Amnt_Deposited!B56</f>
        <v>1995</v>
      </c>
      <c r="C64" s="676">
        <f>IF(Select2=1,Amnt_Deposited!E56,(Amnt_Deposited!E56+Amnt_Deposited!L56*Parameters!$E$46))</f>
        <v>502.46820000000002</v>
      </c>
      <c r="D64" s="677">
        <f>MCF!R63</f>
        <v>1</v>
      </c>
      <c r="E64" s="662">
        <f t="shared" si="1"/>
        <v>100.49364000000001</v>
      </c>
      <c r="F64" s="662">
        <f t="shared" si="0"/>
        <v>100.49364000000001</v>
      </c>
      <c r="G64" s="662">
        <f t="shared" si="2"/>
        <v>0</v>
      </c>
      <c r="H64" s="662">
        <f t="shared" si="3"/>
        <v>1847.715578485723</v>
      </c>
      <c r="I64" s="662">
        <f t="shared" si="4"/>
        <v>108.04217072424586</v>
      </c>
      <c r="J64" s="663">
        <f t="shared" si="5"/>
        <v>79.230925197780294</v>
      </c>
    </row>
    <row r="65" spans="2:10" x14ac:dyDescent="0.25">
      <c r="B65" s="675">
        <f>Amnt_Deposited!B57</f>
        <v>1996</v>
      </c>
      <c r="C65" s="676">
        <f>IF(Select2=1,Amnt_Deposited!E57,(Amnt_Deposited!E57+Amnt_Deposited!L57*Parameters!$E$46))</f>
        <v>514.24020000000007</v>
      </c>
      <c r="D65" s="677">
        <f>MCF!R64</f>
        <v>1</v>
      </c>
      <c r="E65" s="662">
        <f t="shared" si="1"/>
        <v>102.84804000000003</v>
      </c>
      <c r="F65" s="662">
        <f t="shared" si="0"/>
        <v>102.84804000000003</v>
      </c>
      <c r="G65" s="662">
        <f t="shared" si="2"/>
        <v>0</v>
      </c>
      <c r="H65" s="662">
        <f t="shared" si="3"/>
        <v>1842.9610399689573</v>
      </c>
      <c r="I65" s="662">
        <f t="shared" si="4"/>
        <v>107.60257851676577</v>
      </c>
      <c r="J65" s="663">
        <f t="shared" si="5"/>
        <v>78.908557578961563</v>
      </c>
    </row>
    <row r="66" spans="2:10" x14ac:dyDescent="0.25">
      <c r="B66" s="675">
        <f>Amnt_Deposited!B58</f>
        <v>1997</v>
      </c>
      <c r="C66" s="676">
        <f>IF(Select2=1,Amnt_Deposited!E58,(Amnt_Deposited!E58+Amnt_Deposited!L58*Parameters!$E$46))</f>
        <v>555.38100000000009</v>
      </c>
      <c r="D66" s="677">
        <f>MCF!R65</f>
        <v>1</v>
      </c>
      <c r="E66" s="662">
        <f t="shared" si="1"/>
        <v>111.07620000000003</v>
      </c>
      <c r="F66" s="662">
        <f t="shared" si="0"/>
        <v>111.07620000000003</v>
      </c>
      <c r="G66" s="662">
        <f t="shared" si="2"/>
        <v>0</v>
      </c>
      <c r="H66" s="662">
        <f t="shared" si="3"/>
        <v>1846.7115442203069</v>
      </c>
      <c r="I66" s="662">
        <f t="shared" si="4"/>
        <v>107.32569574865026</v>
      </c>
      <c r="J66" s="663">
        <f t="shared" si="5"/>
        <v>78.705510215676867</v>
      </c>
    </row>
    <row r="67" spans="2:10" x14ac:dyDescent="0.25">
      <c r="B67" s="675">
        <f>Amnt_Deposited!B59</f>
        <v>1998</v>
      </c>
      <c r="C67" s="676">
        <f>IF(Select2=1,Amnt_Deposited!E59,(Amnt_Deposited!E59+Amnt_Deposited!L59*Parameters!$E$46))</f>
        <v>591.62399999999991</v>
      </c>
      <c r="D67" s="677">
        <f>MCF!R66</f>
        <v>1</v>
      </c>
      <c r="E67" s="662">
        <f t="shared" si="1"/>
        <v>118.32479999999998</v>
      </c>
      <c r="F67" s="662">
        <f t="shared" si="0"/>
        <v>118.32479999999998</v>
      </c>
      <c r="G67" s="662">
        <f t="shared" si="2"/>
        <v>0</v>
      </c>
      <c r="H67" s="662">
        <f t="shared" si="3"/>
        <v>1857.492236107285</v>
      </c>
      <c r="I67" s="662">
        <f t="shared" si="4"/>
        <v>107.54410811302186</v>
      </c>
      <c r="J67" s="663">
        <f t="shared" si="5"/>
        <v>78.865679282882695</v>
      </c>
    </row>
    <row r="68" spans="2:10" x14ac:dyDescent="0.25">
      <c r="B68" s="675">
        <f>Amnt_Deposited!B60</f>
        <v>1999</v>
      </c>
      <c r="C68" s="676">
        <f>IF(Select2=1,Amnt_Deposited!E60,(Amnt_Deposited!E60+Amnt_Deposited!L60*Parameters!$E$46))</f>
        <v>630.9</v>
      </c>
      <c r="D68" s="677">
        <f>MCF!R67</f>
        <v>1</v>
      </c>
      <c r="E68" s="662">
        <f t="shared" si="1"/>
        <v>126.18</v>
      </c>
      <c r="F68" s="662">
        <f t="shared" si="0"/>
        <v>126.18</v>
      </c>
      <c r="G68" s="662">
        <f t="shared" si="2"/>
        <v>0</v>
      </c>
      <c r="H68" s="662">
        <f t="shared" si="3"/>
        <v>1875.5003093739406</v>
      </c>
      <c r="I68" s="662">
        <f t="shared" si="4"/>
        <v>108.17192673334453</v>
      </c>
      <c r="J68" s="663">
        <f t="shared" si="5"/>
        <v>79.326079604452659</v>
      </c>
    </row>
    <row r="69" spans="2:10" x14ac:dyDescent="0.25">
      <c r="B69" s="675">
        <f>Amnt_Deposited!B61</f>
        <v>2000</v>
      </c>
      <c r="C69" s="676">
        <f>IF(Select2=1,Amnt_Deposited!E61,(Amnt_Deposited!E61+Amnt_Deposited!L61*Parameters!$E$46))</f>
        <v>615.88800000000003</v>
      </c>
      <c r="D69" s="677">
        <f>MCF!R68</f>
        <v>1</v>
      </c>
      <c r="E69" s="662">
        <f t="shared" si="1"/>
        <v>123.17760000000001</v>
      </c>
      <c r="F69" s="662">
        <f t="shared" si="0"/>
        <v>123.17760000000001</v>
      </c>
      <c r="G69" s="662">
        <f t="shared" si="2"/>
        <v>0</v>
      </c>
      <c r="H69" s="662">
        <f t="shared" si="3"/>
        <v>1889.4572740946633</v>
      </c>
      <c r="I69" s="662">
        <f t="shared" si="4"/>
        <v>109.22063527927725</v>
      </c>
      <c r="J69" s="663">
        <f t="shared" si="5"/>
        <v>80.095132538136653</v>
      </c>
    </row>
    <row r="70" spans="2:10" x14ac:dyDescent="0.25">
      <c r="B70" s="675">
        <f>Amnt_Deposited!B62</f>
        <v>2001</v>
      </c>
      <c r="C70" s="676">
        <f>IF(Select2=1,Amnt_Deposited!E62,(Amnt_Deposited!E62+Amnt_Deposited!L62*Parameters!$E$46))</f>
        <v>681.12900000000013</v>
      </c>
      <c r="D70" s="677">
        <f>MCF!R69</f>
        <v>1</v>
      </c>
      <c r="E70" s="662">
        <f t="shared" si="1"/>
        <v>136.22580000000002</v>
      </c>
      <c r="F70" s="662">
        <f t="shared" si="0"/>
        <v>136.22580000000002</v>
      </c>
      <c r="G70" s="662">
        <f t="shared" si="2"/>
        <v>0</v>
      </c>
      <c r="H70" s="662">
        <f t="shared" si="3"/>
        <v>1915.6496484651266</v>
      </c>
      <c r="I70" s="662">
        <f t="shared" si="4"/>
        <v>110.03342562953672</v>
      </c>
      <c r="J70" s="663">
        <f t="shared" si="5"/>
        <v>80.69117879499359</v>
      </c>
    </row>
    <row r="71" spans="2:10" x14ac:dyDescent="0.25">
      <c r="B71" s="675">
        <f>Amnt_Deposited!B63</f>
        <v>2002</v>
      </c>
      <c r="C71" s="676">
        <f>IF(Select2=1,Amnt_Deposited!E63,(Amnt_Deposited!E63+Amnt_Deposited!L63*Parameters!$E$46))</f>
        <v>610.41600000000005</v>
      </c>
      <c r="D71" s="677">
        <f>MCF!R70</f>
        <v>1</v>
      </c>
      <c r="E71" s="662">
        <f t="shared" si="1"/>
        <v>122.08320000000002</v>
      </c>
      <c r="F71" s="662">
        <f t="shared" si="0"/>
        <v>122.08320000000002</v>
      </c>
      <c r="G71" s="662">
        <f t="shared" si="2"/>
        <v>0</v>
      </c>
      <c r="H71" s="662">
        <f t="shared" si="3"/>
        <v>1926.17409769759</v>
      </c>
      <c r="I71" s="662">
        <f t="shared" si="4"/>
        <v>111.55875076753662</v>
      </c>
      <c r="J71" s="663">
        <f t="shared" si="5"/>
        <v>81.809750562860188</v>
      </c>
    </row>
    <row r="72" spans="2:10" x14ac:dyDescent="0.25">
      <c r="B72" s="675">
        <f>Amnt_Deposited!B64</f>
        <v>2003</v>
      </c>
      <c r="C72" s="676">
        <f>IF(Select2=1,Amnt_Deposited!E64,(Amnt_Deposited!E64+Amnt_Deposited!L64*Parameters!$E$46))</f>
        <v>578.16</v>
      </c>
      <c r="D72" s="677">
        <f>MCF!R71</f>
        <v>1</v>
      </c>
      <c r="E72" s="662">
        <f t="shared" si="1"/>
        <v>115.63200000000001</v>
      </c>
      <c r="F72" s="662">
        <f t="shared" si="0"/>
        <v>115.63200000000001</v>
      </c>
      <c r="G72" s="662">
        <f t="shared" si="2"/>
        <v>0</v>
      </c>
      <c r="H72" s="662">
        <f t="shared" si="3"/>
        <v>1929.6344507202321</v>
      </c>
      <c r="I72" s="662">
        <f t="shared" si="4"/>
        <v>112.17164697735802</v>
      </c>
      <c r="J72" s="663">
        <f t="shared" si="5"/>
        <v>82.25920778339588</v>
      </c>
    </row>
    <row r="73" spans="2:10" x14ac:dyDescent="0.25">
      <c r="B73" s="675">
        <f>Amnt_Deposited!B65</f>
        <v>2004</v>
      </c>
      <c r="C73" s="676">
        <f>IF(Select2=1,Amnt_Deposited!E65,(Amnt_Deposited!E65+Amnt_Deposited!L65*Parameters!$E$46))</f>
        <v>504.79200000000003</v>
      </c>
      <c r="D73" s="677">
        <f>MCF!R72</f>
        <v>1</v>
      </c>
      <c r="E73" s="662">
        <f t="shared" si="1"/>
        <v>100.95840000000001</v>
      </c>
      <c r="F73" s="662">
        <f t="shared" si="0"/>
        <v>100.95840000000001</v>
      </c>
      <c r="G73" s="662">
        <f t="shared" si="2"/>
        <v>0</v>
      </c>
      <c r="H73" s="662">
        <f t="shared" si="3"/>
        <v>1918.2196884706373</v>
      </c>
      <c r="I73" s="662">
        <f t="shared" si="4"/>
        <v>112.37316224959474</v>
      </c>
      <c r="J73" s="663">
        <f t="shared" si="5"/>
        <v>82.406985649702818</v>
      </c>
    </row>
    <row r="74" spans="2:10" x14ac:dyDescent="0.25">
      <c r="B74" s="675">
        <f>Amnt_Deposited!B66</f>
        <v>2005</v>
      </c>
      <c r="C74" s="676">
        <f>IF(Select2=1,Amnt_Deposited!E66,(Amnt_Deposited!E66+Amnt_Deposited!L66*Parameters!$E$46))</f>
        <v>432</v>
      </c>
      <c r="D74" s="677">
        <f>MCF!R73</f>
        <v>1</v>
      </c>
      <c r="E74" s="662">
        <f t="shared" si="1"/>
        <v>86.4</v>
      </c>
      <c r="F74" s="662">
        <f t="shared" si="0"/>
        <v>86.4</v>
      </c>
      <c r="G74" s="662">
        <f t="shared" si="2"/>
        <v>0</v>
      </c>
      <c r="H74" s="662">
        <f t="shared" si="3"/>
        <v>1892.9112702246728</v>
      </c>
      <c r="I74" s="662">
        <f t="shared" si="4"/>
        <v>111.70841824596468</v>
      </c>
      <c r="J74" s="663">
        <f t="shared" si="5"/>
        <v>81.919506713707435</v>
      </c>
    </row>
    <row r="75" spans="2:10" x14ac:dyDescent="0.25">
      <c r="B75" s="675">
        <f>Amnt_Deposited!B67</f>
        <v>2006</v>
      </c>
      <c r="C75" s="676">
        <f>IF(Select2=1,Amnt_Deposited!E67,(Amnt_Deposited!E67+Amnt_Deposited!L67*Parameters!$E$46))</f>
        <v>442.08</v>
      </c>
      <c r="D75" s="677">
        <f>MCF!R74</f>
        <v>1</v>
      </c>
      <c r="E75" s="662">
        <f t="shared" si="1"/>
        <v>88.415999999999997</v>
      </c>
      <c r="F75" s="662">
        <f t="shared" si="0"/>
        <v>88.415999999999997</v>
      </c>
      <c r="G75" s="662">
        <f t="shared" si="2"/>
        <v>0</v>
      </c>
      <c r="H75" s="662">
        <f t="shared" si="3"/>
        <v>1871.0926995195066</v>
      </c>
      <c r="I75" s="662">
        <f t="shared" si="4"/>
        <v>110.23457070516602</v>
      </c>
      <c r="J75" s="663">
        <f t="shared" si="5"/>
        <v>80.838685183788414</v>
      </c>
    </row>
    <row r="76" spans="2:10" x14ac:dyDescent="0.25">
      <c r="B76" s="675">
        <f>Amnt_Deposited!B68</f>
        <v>2007</v>
      </c>
      <c r="C76" s="676">
        <f>IF(Select2=1,Amnt_Deposited!E68,(Amnt_Deposited!E68+Amnt_Deposited!L68*Parameters!$E$46))</f>
        <v>492.81300000000005</v>
      </c>
      <c r="D76" s="677">
        <f>MCF!R75</f>
        <v>1</v>
      </c>
      <c r="E76" s="662">
        <f t="shared" si="1"/>
        <v>98.562600000000018</v>
      </c>
      <c r="F76" s="662">
        <f t="shared" si="0"/>
        <v>98.562600000000018</v>
      </c>
      <c r="G76" s="662">
        <f t="shared" si="2"/>
        <v>0</v>
      </c>
      <c r="H76" s="662">
        <f t="shared" si="3"/>
        <v>1860.691343455881</v>
      </c>
      <c r="I76" s="662">
        <f t="shared" si="4"/>
        <v>108.96395606362563</v>
      </c>
      <c r="J76" s="663">
        <f t="shared" si="5"/>
        <v>79.906901113325461</v>
      </c>
    </row>
    <row r="77" spans="2:10" x14ac:dyDescent="0.25">
      <c r="B77" s="675">
        <f>Amnt_Deposited!B69</f>
        <v>2008</v>
      </c>
      <c r="C77" s="676">
        <f>IF(Select2=1,Amnt_Deposited!E69,(Amnt_Deposited!E69+Amnt_Deposited!L69*Parameters!$E$46))</f>
        <v>477.21600000000001</v>
      </c>
      <c r="D77" s="677">
        <f>MCF!R76</f>
        <v>1</v>
      </c>
      <c r="E77" s="662">
        <f t="shared" si="1"/>
        <v>95.443200000000004</v>
      </c>
      <c r="F77" s="662">
        <f t="shared" si="0"/>
        <v>95.443200000000004</v>
      </c>
      <c r="G77" s="662">
        <f t="shared" si="2"/>
        <v>0</v>
      </c>
      <c r="H77" s="662">
        <f t="shared" si="3"/>
        <v>1847.7763152139769</v>
      </c>
      <c r="I77" s="662">
        <f t="shared" si="4"/>
        <v>108.35822824190409</v>
      </c>
      <c r="J77" s="663">
        <f t="shared" si="5"/>
        <v>79.462700710729663</v>
      </c>
    </row>
    <row r="78" spans="2:10" x14ac:dyDescent="0.25">
      <c r="B78" s="675">
        <f>Amnt_Deposited!B70</f>
        <v>2009</v>
      </c>
      <c r="C78" s="676">
        <f>IF(Select2=1,Amnt_Deposited!E70,(Amnt_Deposited!E70+Amnt_Deposited!L70*Parameters!$E$46))</f>
        <v>493.05599999999998</v>
      </c>
      <c r="D78" s="677">
        <f>MCF!R77</f>
        <v>1</v>
      </c>
      <c r="E78" s="662">
        <f t="shared" si="1"/>
        <v>98.611199999999997</v>
      </c>
      <c r="F78" s="662">
        <f t="shared" si="0"/>
        <v>98.611199999999997</v>
      </c>
      <c r="G78" s="662">
        <f t="shared" si="2"/>
        <v>0</v>
      </c>
      <c r="H78" s="662">
        <f t="shared" si="3"/>
        <v>1838.7813996655127</v>
      </c>
      <c r="I78" s="662">
        <f t="shared" si="4"/>
        <v>107.6061155484642</v>
      </c>
      <c r="J78" s="663">
        <f t="shared" si="5"/>
        <v>78.911151402207082</v>
      </c>
    </row>
    <row r="79" spans="2:10" x14ac:dyDescent="0.25">
      <c r="B79" s="675">
        <f>Amnt_Deposited!B71</f>
        <v>2010</v>
      </c>
      <c r="C79" s="676">
        <f>IF(Select2=1,Amnt_Deposited!E71,(Amnt_Deposited!E71+Amnt_Deposited!L71*Parameters!$E$46))</f>
        <v>490.464</v>
      </c>
      <c r="D79" s="677">
        <f>MCF!R78</f>
        <v>1</v>
      </c>
      <c r="E79" s="662">
        <f t="shared" si="1"/>
        <v>98.092800000000011</v>
      </c>
      <c r="F79" s="662">
        <f t="shared" si="0"/>
        <v>98.092800000000011</v>
      </c>
      <c r="G79" s="662">
        <f t="shared" si="2"/>
        <v>0</v>
      </c>
      <c r="H79" s="662">
        <f t="shared" si="3"/>
        <v>1829.7919072193836</v>
      </c>
      <c r="I79" s="662">
        <f t="shared" si="4"/>
        <v>107.0822924461291</v>
      </c>
      <c r="J79" s="663">
        <f t="shared" si="5"/>
        <v>78.527014460494684</v>
      </c>
    </row>
    <row r="80" spans="2:10" x14ac:dyDescent="0.25">
      <c r="B80" s="675">
        <f>Amnt_Deposited!B72</f>
        <v>2011</v>
      </c>
      <c r="C80" s="676">
        <f>IF(Select2=1,Amnt_Deposited!E72,(Amnt_Deposited!E72+Amnt_Deposited!L72*Parameters!$E$46))</f>
        <v>458.64</v>
      </c>
      <c r="D80" s="677">
        <f>MCF!R79</f>
        <v>1</v>
      </c>
      <c r="E80" s="662">
        <f t="shared" si="1"/>
        <v>91.728000000000009</v>
      </c>
      <c r="F80" s="662">
        <f t="shared" si="0"/>
        <v>91.728000000000009</v>
      </c>
      <c r="G80" s="662">
        <f t="shared" si="2"/>
        <v>0</v>
      </c>
      <c r="H80" s="662">
        <f t="shared" si="3"/>
        <v>1814.9611220586958</v>
      </c>
      <c r="I80" s="662">
        <f t="shared" si="4"/>
        <v>106.55878516068789</v>
      </c>
      <c r="J80" s="663">
        <f t="shared" si="5"/>
        <v>78.143109117837781</v>
      </c>
    </row>
    <row r="81" spans="2:10" x14ac:dyDescent="0.25">
      <c r="B81" s="675">
        <f>Amnt_Deposited!B73</f>
        <v>2012</v>
      </c>
      <c r="C81" s="676">
        <f>IF(Select2=1,Amnt_Deposited!E73,(Amnt_Deposited!E73+Amnt_Deposited!L73*Parameters!$E$46))</f>
        <v>429.26400000000001</v>
      </c>
      <c r="D81" s="677">
        <f>MCF!R80</f>
        <v>1</v>
      </c>
      <c r="E81" s="662">
        <f t="shared" si="1"/>
        <v>85.852800000000002</v>
      </c>
      <c r="F81" s="662">
        <f t="shared" si="0"/>
        <v>85.852800000000002</v>
      </c>
      <c r="G81" s="662">
        <f t="shared" si="2"/>
        <v>0</v>
      </c>
      <c r="H81" s="662">
        <f t="shared" si="3"/>
        <v>1795.1188145891524</v>
      </c>
      <c r="I81" s="662">
        <f t="shared" si="4"/>
        <v>105.69510746954344</v>
      </c>
      <c r="J81" s="663">
        <f t="shared" si="5"/>
        <v>77.509745477665192</v>
      </c>
    </row>
    <row r="82" spans="2:10" x14ac:dyDescent="0.25">
      <c r="B82" s="675">
        <f>Amnt_Deposited!B74</f>
        <v>2013</v>
      </c>
      <c r="C82" s="676">
        <f>IF(Select2=1,Amnt_Deposited!E74,(Amnt_Deposited!E74+Amnt_Deposited!L74*Parameters!$E$46))</f>
        <v>401.18400000000003</v>
      </c>
      <c r="D82" s="677">
        <f>MCF!R81</f>
        <v>1</v>
      </c>
      <c r="E82" s="662">
        <f t="shared" si="1"/>
        <v>80.236800000000017</v>
      </c>
      <c r="F82" s="662">
        <f t="shared" si="0"/>
        <v>80.236800000000017</v>
      </c>
      <c r="G82" s="662">
        <f t="shared" si="2"/>
        <v>0</v>
      </c>
      <c r="H82" s="662">
        <f t="shared" si="3"/>
        <v>1770.8160331498625</v>
      </c>
      <c r="I82" s="662">
        <f t="shared" si="4"/>
        <v>104.53958143928983</v>
      </c>
      <c r="J82" s="663">
        <f t="shared" si="5"/>
        <v>76.662359722145879</v>
      </c>
    </row>
    <row r="83" spans="2:10" x14ac:dyDescent="0.25">
      <c r="B83" s="675">
        <f>Amnt_Deposited!B75</f>
        <v>2014</v>
      </c>
      <c r="C83" s="676">
        <f>IF(Select2=1,Amnt_Deposited!E75,(Amnt_Deposited!E75+Amnt_Deposited!L75*Parameters!$E$46))</f>
        <v>387.64800000000002</v>
      </c>
      <c r="D83" s="677">
        <f>MCF!R82</f>
        <v>1</v>
      </c>
      <c r="E83" s="662">
        <f t="shared" si="1"/>
        <v>77.529600000000016</v>
      </c>
      <c r="F83" s="662">
        <f t="shared" ref="F83:F109" si="6">E83*$I$12</f>
        <v>77.529600000000016</v>
      </c>
      <c r="G83" s="662">
        <f t="shared" si="2"/>
        <v>0</v>
      </c>
      <c r="H83" s="662">
        <f t="shared" si="3"/>
        <v>1745.2213355228898</v>
      </c>
      <c r="I83" s="662">
        <f t="shared" si="4"/>
        <v>103.12429762697272</v>
      </c>
      <c r="J83" s="663">
        <f t="shared" si="5"/>
        <v>75.624484926446655</v>
      </c>
    </row>
    <row r="84" spans="2:10" x14ac:dyDescent="0.25">
      <c r="B84" s="675">
        <f>Amnt_Deposited!B76</f>
        <v>2015</v>
      </c>
      <c r="C84" s="676">
        <f>IF(Select2=1,Amnt_Deposited!E76,(Amnt_Deposited!E76+Amnt_Deposited!L76*Parameters!$E$46))</f>
        <v>370.08</v>
      </c>
      <c r="D84" s="677">
        <f>MCF!R83</f>
        <v>1</v>
      </c>
      <c r="E84" s="662">
        <f t="shared" ref="E84:E109" si="7">C84*$I$6*DOCF*D84</f>
        <v>74.016000000000005</v>
      </c>
      <c r="F84" s="662">
        <f t="shared" si="6"/>
        <v>74.016000000000005</v>
      </c>
      <c r="G84" s="662">
        <f t="shared" ref="G84:G109" si="8">E84*(1-$I$12)</f>
        <v>0</v>
      </c>
      <c r="H84" s="662">
        <f t="shared" ref="H84:H109" si="9">F84+H83*$I$10</f>
        <v>1717.6035570499942</v>
      </c>
      <c r="I84" s="662">
        <f t="shared" ref="I84:I109" si="10">H83*(1-$I$10)+G84</f>
        <v>101.63377847289584</v>
      </c>
      <c r="J84" s="663">
        <f t="shared" si="5"/>
        <v>74.531437546790286</v>
      </c>
    </row>
    <row r="85" spans="2:10" x14ac:dyDescent="0.25">
      <c r="B85" s="675">
        <f>Amnt_Deposited!B77</f>
        <v>2016</v>
      </c>
      <c r="C85" s="676">
        <f>IF(Select2=1,Amnt_Deposited!E77,(Amnt_Deposited!E77+Amnt_Deposited!L77*Parameters!$E$46))</f>
        <v>359.85599999999999</v>
      </c>
      <c r="D85" s="677">
        <f>MCF!R84</f>
        <v>1</v>
      </c>
      <c r="E85" s="662">
        <f t="shared" si="7"/>
        <v>71.971199999999996</v>
      </c>
      <c r="F85" s="662">
        <f t="shared" si="6"/>
        <v>71.971199999999996</v>
      </c>
      <c r="G85" s="662">
        <f t="shared" si="8"/>
        <v>0</v>
      </c>
      <c r="H85" s="662">
        <f t="shared" si="9"/>
        <v>1689.5493127878342</v>
      </c>
      <c r="I85" s="662">
        <f t="shared" si="10"/>
        <v>100.02544426215987</v>
      </c>
      <c r="J85" s="663">
        <f t="shared" ref="J85:J109" si="11">I85*CH4_fraction*conv</f>
        <v>73.351992458917238</v>
      </c>
    </row>
    <row r="86" spans="2:10" x14ac:dyDescent="0.25">
      <c r="B86" s="675">
        <f>Amnt_Deposited!B78</f>
        <v>2017</v>
      </c>
      <c r="C86" s="676">
        <f>IF(Select2=1,Amnt_Deposited!E78,(Amnt_Deposited!E78+Amnt_Deposited!L78*Parameters!$E$46))</f>
        <v>359.85599999999999</v>
      </c>
      <c r="D86" s="677">
        <f>MCF!R85</f>
        <v>1</v>
      </c>
      <c r="E86" s="662">
        <f t="shared" ref="E86:E109" si="12">C86*$I$6*DOCF*D86</f>
        <v>71.971199999999996</v>
      </c>
      <c r="F86" s="662">
        <f t="shared" ref="F86:F109" si="13">E86*$I$12</f>
        <v>71.971199999999996</v>
      </c>
      <c r="G86" s="662">
        <f t="shared" ref="G86:G109" si="14">E86*(1-$I$12)</f>
        <v>0</v>
      </c>
      <c r="H86" s="662">
        <f t="shared" ref="H86:H109" si="15">F86+H85*$I$10</f>
        <v>1663.1288205252226</v>
      </c>
      <c r="I86" s="662">
        <f t="shared" ref="I86:I109" si="16">H85*(1-$I$10)+G86</f>
        <v>98.391692262611571</v>
      </c>
      <c r="J86" s="663">
        <f t="shared" ref="J86:J109" si="17">I86*CH4_fraction*conv</f>
        <v>72.153907659248489</v>
      </c>
    </row>
    <row r="87" spans="2:10" x14ac:dyDescent="0.25">
      <c r="B87" s="675">
        <f>Amnt_Deposited!B79</f>
        <v>2018</v>
      </c>
      <c r="C87" s="676">
        <f>IF(Select2=1,Amnt_Deposited!E79,(Amnt_Deposited!E79+Amnt_Deposited!L79*Parameters!$E$46))</f>
        <v>359.85599999999999</v>
      </c>
      <c r="D87" s="677">
        <f>MCF!R86</f>
        <v>1</v>
      </c>
      <c r="E87" s="662">
        <f t="shared" si="12"/>
        <v>71.971199999999996</v>
      </c>
      <c r="F87" s="662">
        <f t="shared" si="13"/>
        <v>71.971199999999996</v>
      </c>
      <c r="G87" s="662">
        <f t="shared" si="14"/>
        <v>0</v>
      </c>
      <c r="H87" s="662">
        <f t="shared" si="15"/>
        <v>1638.246937952458</v>
      </c>
      <c r="I87" s="662">
        <f t="shared" si="16"/>
        <v>96.853082572764635</v>
      </c>
      <c r="J87" s="663">
        <f t="shared" si="17"/>
        <v>71.025593886694068</v>
      </c>
    </row>
    <row r="88" spans="2:10" x14ac:dyDescent="0.25">
      <c r="B88" s="675">
        <f>Amnt_Deposited!B80</f>
        <v>2019</v>
      </c>
      <c r="C88" s="676">
        <f>IF(Select2=1,Amnt_Deposited!E80,(Amnt_Deposited!E80+Amnt_Deposited!L80*Parameters!$E$46))</f>
        <v>359.85599999999999</v>
      </c>
      <c r="D88" s="677">
        <f>MCF!R87</f>
        <v>1</v>
      </c>
      <c r="E88" s="662">
        <f t="shared" si="12"/>
        <v>71.971199999999996</v>
      </c>
      <c r="F88" s="662">
        <f t="shared" si="13"/>
        <v>71.971199999999996</v>
      </c>
      <c r="G88" s="662">
        <f t="shared" si="14"/>
        <v>0</v>
      </c>
      <c r="H88" s="662">
        <f t="shared" si="15"/>
        <v>1614.8140634166202</v>
      </c>
      <c r="I88" s="662">
        <f t="shared" si="16"/>
        <v>95.404074535837736</v>
      </c>
      <c r="J88" s="663">
        <f t="shared" si="17"/>
        <v>69.962987992947674</v>
      </c>
    </row>
    <row r="89" spans="2:10" x14ac:dyDescent="0.25">
      <c r="B89" s="675">
        <f>Amnt_Deposited!B81</f>
        <v>2020</v>
      </c>
      <c r="C89" s="676">
        <f>IF(Select2=1,Amnt_Deposited!E81,(Amnt_Deposited!E81+Amnt_Deposited!L81*Parameters!$E$46))</f>
        <v>359.85599999999999</v>
      </c>
      <c r="D89" s="677">
        <f>MCF!R88</f>
        <v>1</v>
      </c>
      <c r="E89" s="662">
        <f t="shared" si="12"/>
        <v>71.971199999999996</v>
      </c>
      <c r="F89" s="662">
        <f t="shared" si="13"/>
        <v>71.971199999999996</v>
      </c>
      <c r="G89" s="662">
        <f t="shared" si="14"/>
        <v>0</v>
      </c>
      <c r="H89" s="662">
        <f t="shared" si="15"/>
        <v>1592.7458132588388</v>
      </c>
      <c r="I89" s="662">
        <f t="shared" si="16"/>
        <v>94.039450157781445</v>
      </c>
      <c r="J89" s="663">
        <f t="shared" si="17"/>
        <v>68.962263449039725</v>
      </c>
    </row>
    <row r="90" spans="2:10" x14ac:dyDescent="0.25">
      <c r="B90" s="675">
        <f>Amnt_Deposited!B82</f>
        <v>2021</v>
      </c>
      <c r="C90" s="676">
        <f>IF(Select2=1,Amnt_Deposited!E82,(Amnt_Deposited!E82+Amnt_Deposited!L82*Parameters!$E$46))</f>
        <v>359.85599999999999</v>
      </c>
      <c r="D90" s="677">
        <f>MCF!R89</f>
        <v>1</v>
      </c>
      <c r="E90" s="662">
        <f t="shared" si="12"/>
        <v>71.971199999999996</v>
      </c>
      <c r="F90" s="662">
        <f t="shared" si="13"/>
        <v>71.971199999999996</v>
      </c>
      <c r="G90" s="662">
        <f t="shared" si="14"/>
        <v>0</v>
      </c>
      <c r="H90" s="662">
        <f t="shared" si="15"/>
        <v>1571.9627179419751</v>
      </c>
      <c r="I90" s="662">
        <f t="shared" si="16"/>
        <v>92.754295316863562</v>
      </c>
      <c r="J90" s="663">
        <f t="shared" si="17"/>
        <v>68.019816565699955</v>
      </c>
    </row>
    <row r="91" spans="2:10" x14ac:dyDescent="0.25">
      <c r="B91" s="675">
        <f>Amnt_Deposited!B83</f>
        <v>2022</v>
      </c>
      <c r="C91" s="676">
        <f>IF(Select2=1,Amnt_Deposited!E83,(Amnt_Deposited!E83+Amnt_Deposited!L83*Parameters!$E$46))</f>
        <v>359.85599999999999</v>
      </c>
      <c r="D91" s="677">
        <f>MCF!R90</f>
        <v>1</v>
      </c>
      <c r="E91" s="662">
        <f t="shared" si="12"/>
        <v>71.971199999999996</v>
      </c>
      <c r="F91" s="662">
        <f t="shared" si="13"/>
        <v>71.971199999999996</v>
      </c>
      <c r="G91" s="662">
        <f t="shared" si="14"/>
        <v>0</v>
      </c>
      <c r="H91" s="662">
        <f t="shared" si="15"/>
        <v>1552.389935874452</v>
      </c>
      <c r="I91" s="662">
        <f t="shared" si="16"/>
        <v>91.54398206752299</v>
      </c>
      <c r="J91" s="663">
        <f t="shared" si="17"/>
        <v>67.132253516183525</v>
      </c>
    </row>
    <row r="92" spans="2:10" x14ac:dyDescent="0.25">
      <c r="B92" s="675">
        <f>Amnt_Deposited!B84</f>
        <v>2023</v>
      </c>
      <c r="C92" s="676">
        <f>IF(Select2=1,Amnt_Deposited!E84,(Amnt_Deposited!E84+Amnt_Deposited!L84*Parameters!$E$46))</f>
        <v>359.85599999999999</v>
      </c>
      <c r="D92" s="677">
        <f>MCF!R91</f>
        <v>1</v>
      </c>
      <c r="E92" s="662">
        <f t="shared" si="12"/>
        <v>71.971199999999996</v>
      </c>
      <c r="F92" s="662">
        <f t="shared" si="13"/>
        <v>71.971199999999996</v>
      </c>
      <c r="G92" s="662">
        <f t="shared" si="14"/>
        <v>0</v>
      </c>
      <c r="H92" s="662">
        <f t="shared" si="15"/>
        <v>1533.9569838996849</v>
      </c>
      <c r="I92" s="662">
        <f t="shared" si="16"/>
        <v>90.404151974766933</v>
      </c>
      <c r="J92" s="663">
        <f t="shared" si="17"/>
        <v>66.296378114829082</v>
      </c>
    </row>
    <row r="93" spans="2:10" x14ac:dyDescent="0.25">
      <c r="B93" s="675">
        <f>Amnt_Deposited!B85</f>
        <v>2024</v>
      </c>
      <c r="C93" s="676">
        <f>IF(Select2=1,Amnt_Deposited!E85,(Amnt_Deposited!E85+Amnt_Deposited!L85*Parameters!$E$46))</f>
        <v>359.85599999999999</v>
      </c>
      <c r="D93" s="677">
        <f>MCF!R92</f>
        <v>1</v>
      </c>
      <c r="E93" s="662">
        <f t="shared" si="12"/>
        <v>71.971199999999996</v>
      </c>
      <c r="F93" s="662">
        <f t="shared" si="13"/>
        <v>71.971199999999996</v>
      </c>
      <c r="G93" s="662">
        <f t="shared" si="14"/>
        <v>0</v>
      </c>
      <c r="H93" s="662">
        <f t="shared" si="15"/>
        <v>1516.5974834805877</v>
      </c>
      <c r="I93" s="662">
        <f t="shared" si="16"/>
        <v>89.330700419097226</v>
      </c>
      <c r="J93" s="663">
        <f t="shared" si="17"/>
        <v>65.509180307337971</v>
      </c>
    </row>
    <row r="94" spans="2:10" x14ac:dyDescent="0.25">
      <c r="B94" s="675">
        <f>Amnt_Deposited!B86</f>
        <v>2025</v>
      </c>
      <c r="C94" s="676">
        <f>IF(Select2=1,Amnt_Deposited!E86,(Amnt_Deposited!E86+Amnt_Deposited!L86*Parameters!$E$46))</f>
        <v>359.85599999999999</v>
      </c>
      <c r="D94" s="677">
        <f>MCF!R93</f>
        <v>1</v>
      </c>
      <c r="E94" s="662">
        <f t="shared" si="12"/>
        <v>71.971199999999996</v>
      </c>
      <c r="F94" s="662">
        <f t="shared" si="13"/>
        <v>71.971199999999996</v>
      </c>
      <c r="G94" s="662">
        <f t="shared" si="14"/>
        <v>0</v>
      </c>
      <c r="H94" s="662">
        <f t="shared" si="15"/>
        <v>1500.2489216651409</v>
      </c>
      <c r="I94" s="662">
        <f t="shared" si="16"/>
        <v>88.319761815446668</v>
      </c>
      <c r="J94" s="663">
        <f t="shared" si="17"/>
        <v>64.767825331327558</v>
      </c>
    </row>
    <row r="95" spans="2:10" x14ac:dyDescent="0.25">
      <c r="B95" s="675">
        <f>Amnt_Deposited!B87</f>
        <v>2026</v>
      </c>
      <c r="C95" s="676">
        <f>IF(Select2=1,Amnt_Deposited!E87,(Amnt_Deposited!E87+Amnt_Deposited!L87*Parameters!$E$46))</f>
        <v>359.85599999999999</v>
      </c>
      <c r="D95" s="677">
        <f>MCF!R94</f>
        <v>1</v>
      </c>
      <c r="E95" s="662">
        <f t="shared" si="12"/>
        <v>71.971199999999996</v>
      </c>
      <c r="F95" s="662">
        <f t="shared" si="13"/>
        <v>71.971199999999996</v>
      </c>
      <c r="G95" s="662">
        <f t="shared" si="14"/>
        <v>0</v>
      </c>
      <c r="H95" s="662">
        <f t="shared" si="15"/>
        <v>1484.8524259722435</v>
      </c>
      <c r="I95" s="662">
        <f t="shared" si="16"/>
        <v>87.367695692897385</v>
      </c>
      <c r="J95" s="663">
        <f t="shared" si="17"/>
        <v>64.069643508124756</v>
      </c>
    </row>
    <row r="96" spans="2:10" x14ac:dyDescent="0.25">
      <c r="B96" s="675">
        <f>Amnt_Deposited!B88</f>
        <v>2027</v>
      </c>
      <c r="C96" s="676">
        <f>IF(Select2=1,Amnt_Deposited!E88,(Amnt_Deposited!E88+Amnt_Deposited!L88*Parameters!$E$46))</f>
        <v>359.85599999999999</v>
      </c>
      <c r="D96" s="677">
        <f>MCF!R95</f>
        <v>1</v>
      </c>
      <c r="E96" s="662">
        <f t="shared" si="12"/>
        <v>71.971199999999996</v>
      </c>
      <c r="F96" s="662">
        <f t="shared" si="13"/>
        <v>71.971199999999996</v>
      </c>
      <c r="G96" s="662">
        <f t="shared" si="14"/>
        <v>0</v>
      </c>
      <c r="H96" s="662">
        <f t="shared" si="15"/>
        <v>1470.3525523871901</v>
      </c>
      <c r="I96" s="662">
        <f t="shared" si="16"/>
        <v>86.471073585053404</v>
      </c>
      <c r="J96" s="663">
        <f t="shared" si="17"/>
        <v>63.412120629039165</v>
      </c>
    </row>
    <row r="97" spans="2:10" x14ac:dyDescent="0.25">
      <c r="B97" s="675">
        <f>Amnt_Deposited!B89</f>
        <v>2028</v>
      </c>
      <c r="C97" s="676">
        <f>IF(Select2=1,Amnt_Deposited!E89,(Amnt_Deposited!E89+Amnt_Deposited!L89*Parameters!$E$46))</f>
        <v>359.85599999999999</v>
      </c>
      <c r="D97" s="677">
        <f>MCF!R96</f>
        <v>1</v>
      </c>
      <c r="E97" s="662">
        <f t="shared" si="12"/>
        <v>71.971199999999996</v>
      </c>
      <c r="F97" s="662">
        <f t="shared" si="13"/>
        <v>71.971199999999996</v>
      </c>
      <c r="G97" s="662">
        <f t="shared" si="14"/>
        <v>0</v>
      </c>
      <c r="H97" s="662">
        <f t="shared" si="15"/>
        <v>1456.6970857033318</v>
      </c>
      <c r="I97" s="662">
        <f t="shared" si="16"/>
        <v>85.626666683858389</v>
      </c>
      <c r="J97" s="663">
        <f t="shared" si="17"/>
        <v>62.792888901496156</v>
      </c>
    </row>
    <row r="98" spans="2:10" x14ac:dyDescent="0.25">
      <c r="B98" s="675">
        <f>Amnt_Deposited!B90</f>
        <v>2029</v>
      </c>
      <c r="C98" s="676">
        <f>IF(Select2=1,Amnt_Deposited!E90,(Amnt_Deposited!E90+Amnt_Deposited!L90*Parameters!$E$46))</f>
        <v>359.85599999999999</v>
      </c>
      <c r="D98" s="677">
        <f>MCF!R97</f>
        <v>1</v>
      </c>
      <c r="E98" s="662">
        <f t="shared" si="12"/>
        <v>71.971199999999996</v>
      </c>
      <c r="F98" s="662">
        <f t="shared" si="13"/>
        <v>71.971199999999996</v>
      </c>
      <c r="G98" s="662">
        <f t="shared" si="14"/>
        <v>0</v>
      </c>
      <c r="H98" s="662">
        <f t="shared" si="15"/>
        <v>1443.8368514909325</v>
      </c>
      <c r="I98" s="662">
        <f t="shared" si="16"/>
        <v>84.831434212399145</v>
      </c>
      <c r="J98" s="663">
        <f t="shared" si="17"/>
        <v>62.209718422426036</v>
      </c>
    </row>
    <row r="99" spans="2:10" x14ac:dyDescent="0.25">
      <c r="B99" s="675">
        <f>Amnt_Deposited!B91</f>
        <v>2030</v>
      </c>
      <c r="C99" s="676">
        <f>IF(Select2=1,Amnt_Deposited!E91,(Amnt_Deposited!E91+Amnt_Deposited!L91*Parameters!$E$46))</f>
        <v>359.85599999999999</v>
      </c>
      <c r="D99" s="677">
        <f>MCF!R98</f>
        <v>1</v>
      </c>
      <c r="E99" s="662">
        <f t="shared" si="12"/>
        <v>71.971199999999996</v>
      </c>
      <c r="F99" s="662">
        <f t="shared" si="13"/>
        <v>71.971199999999996</v>
      </c>
      <c r="G99" s="662">
        <f t="shared" si="14"/>
        <v>0</v>
      </c>
      <c r="H99" s="662">
        <f t="shared" si="15"/>
        <v>1431.7255390161083</v>
      </c>
      <c r="I99" s="662">
        <f t="shared" si="16"/>
        <v>84.08251247482427</v>
      </c>
      <c r="J99" s="663">
        <f t="shared" si="17"/>
        <v>61.660509148204468</v>
      </c>
    </row>
    <row r="100" spans="2:10" x14ac:dyDescent="0.25">
      <c r="B100" s="675">
        <f>Amnt_Deposited!B92</f>
        <v>2031</v>
      </c>
      <c r="C100" s="676">
        <f>IF(Select2=1,Amnt_Deposited!E92,(Amnt_Deposited!E92+Amnt_Deposited!L92*Parameters!$E$46))</f>
        <v>359.85599999999999</v>
      </c>
      <c r="D100" s="677">
        <f>MCF!R99</f>
        <v>1</v>
      </c>
      <c r="E100" s="662">
        <f t="shared" si="12"/>
        <v>71.971199999999996</v>
      </c>
      <c r="F100" s="662">
        <f t="shared" si="13"/>
        <v>71.971199999999996</v>
      </c>
      <c r="G100" s="662">
        <f t="shared" si="14"/>
        <v>0</v>
      </c>
      <c r="H100" s="662">
        <f t="shared" si="15"/>
        <v>1420.3195344721623</v>
      </c>
      <c r="I100" s="662">
        <f t="shared" si="16"/>
        <v>83.377204543945979</v>
      </c>
      <c r="J100" s="663">
        <f t="shared" si="17"/>
        <v>61.14328333222705</v>
      </c>
    </row>
    <row r="101" spans="2:10" x14ac:dyDescent="0.25">
      <c r="B101" s="675">
        <f>Amnt_Deposited!B93</f>
        <v>2032</v>
      </c>
      <c r="C101" s="676">
        <f>IF(Select2=1,Amnt_Deposited!E93,(Amnt_Deposited!E93+Amnt_Deposited!L93*Parameters!$E$46))</f>
        <v>359.85599999999999</v>
      </c>
      <c r="D101" s="677">
        <f>MCF!R100</f>
        <v>1</v>
      </c>
      <c r="E101" s="662">
        <f t="shared" si="12"/>
        <v>71.971199999999996</v>
      </c>
      <c r="F101" s="662">
        <f t="shared" si="13"/>
        <v>71.971199999999996</v>
      </c>
      <c r="G101" s="662">
        <f t="shared" si="14"/>
        <v>0</v>
      </c>
      <c r="H101" s="662">
        <f t="shared" si="15"/>
        <v>1409.5777639227731</v>
      </c>
      <c r="I101" s="662">
        <f t="shared" si="16"/>
        <v>82.712970549389098</v>
      </c>
      <c r="J101" s="663">
        <f t="shared" si="17"/>
        <v>60.656178402885338</v>
      </c>
    </row>
    <row r="102" spans="2:10" x14ac:dyDescent="0.25">
      <c r="B102" s="675">
        <f>Amnt_Deposited!B94</f>
        <v>2033</v>
      </c>
      <c r="C102" s="676">
        <f>IF(Select2=1,Amnt_Deposited!E94,(Amnt_Deposited!E94+Amnt_Deposited!L94*Parameters!$E$46))</f>
        <v>359.85599999999999</v>
      </c>
      <c r="D102" s="677">
        <f>MCF!R101</f>
        <v>1</v>
      </c>
      <c r="E102" s="662">
        <f t="shared" si="12"/>
        <v>71.971199999999996</v>
      </c>
      <c r="F102" s="662">
        <f t="shared" si="13"/>
        <v>71.971199999999996</v>
      </c>
      <c r="G102" s="662">
        <f t="shared" si="14"/>
        <v>0</v>
      </c>
      <c r="H102" s="662">
        <f t="shared" si="15"/>
        <v>1399.4615453914587</v>
      </c>
      <c r="I102" s="662">
        <f t="shared" si="16"/>
        <v>82.087418531314441</v>
      </c>
      <c r="J102" s="663">
        <f t="shared" si="17"/>
        <v>60.197440256297263</v>
      </c>
    </row>
    <row r="103" spans="2:10" x14ac:dyDescent="0.25">
      <c r="B103" s="675">
        <f>Amnt_Deposited!B95</f>
        <v>2034</v>
      </c>
      <c r="C103" s="676">
        <f>IF(Select2=1,Amnt_Deposited!E95,(Amnt_Deposited!E95+Amnt_Deposited!L95*Parameters!$E$46))</f>
        <v>359.85599999999999</v>
      </c>
      <c r="D103" s="677">
        <f>MCF!R102</f>
        <v>1</v>
      </c>
      <c r="E103" s="662">
        <f t="shared" si="12"/>
        <v>71.971199999999996</v>
      </c>
      <c r="F103" s="662">
        <f t="shared" si="13"/>
        <v>71.971199999999996</v>
      </c>
      <c r="G103" s="662">
        <f t="shared" si="14"/>
        <v>0</v>
      </c>
      <c r="H103" s="662">
        <f t="shared" si="15"/>
        <v>1389.934449564679</v>
      </c>
      <c r="I103" s="662">
        <f t="shared" si="16"/>
        <v>81.498295826779682</v>
      </c>
      <c r="J103" s="663">
        <f t="shared" si="17"/>
        <v>59.765416939638442</v>
      </c>
    </row>
    <row r="104" spans="2:10" x14ac:dyDescent="0.25">
      <c r="B104" s="675">
        <f>Amnt_Deposited!B96</f>
        <v>2035</v>
      </c>
      <c r="C104" s="676">
        <f>IF(Select2=1,Amnt_Deposited!E96,(Amnt_Deposited!E96+Amnt_Deposited!L96*Parameters!$E$46))</f>
        <v>359.85599999999999</v>
      </c>
      <c r="D104" s="677">
        <f>MCF!R103</f>
        <v>1</v>
      </c>
      <c r="E104" s="662">
        <f t="shared" si="12"/>
        <v>71.971199999999996</v>
      </c>
      <c r="F104" s="662">
        <f t="shared" si="13"/>
        <v>71.971199999999996</v>
      </c>
      <c r="G104" s="662">
        <f t="shared" si="14"/>
        <v>0</v>
      </c>
      <c r="H104" s="662">
        <f t="shared" si="15"/>
        <v>1380.9621686069593</v>
      </c>
      <c r="I104" s="662">
        <f t="shared" si="16"/>
        <v>80.943480957719601</v>
      </c>
      <c r="J104" s="663">
        <f t="shared" si="17"/>
        <v>59.358552702327707</v>
      </c>
    </row>
    <row r="105" spans="2:10" x14ac:dyDescent="0.25">
      <c r="B105" s="675">
        <f>Amnt_Deposited!B97</f>
        <v>2036</v>
      </c>
      <c r="C105" s="676">
        <f>IF(Select2=1,Amnt_Deposited!E97,(Amnt_Deposited!E97+Amnt_Deposited!L97*Parameters!$E$46))</f>
        <v>359.85599999999999</v>
      </c>
      <c r="D105" s="677">
        <f>MCF!R104</f>
        <v>1</v>
      </c>
      <c r="E105" s="662">
        <f t="shared" si="12"/>
        <v>71.971199999999996</v>
      </c>
      <c r="F105" s="662">
        <f t="shared" si="13"/>
        <v>71.971199999999996</v>
      </c>
      <c r="G105" s="662">
        <f t="shared" si="14"/>
        <v>0</v>
      </c>
      <c r="H105" s="662">
        <f t="shared" si="15"/>
        <v>1372.5123926156257</v>
      </c>
      <c r="I105" s="662">
        <f t="shared" si="16"/>
        <v>80.420975991333634</v>
      </c>
      <c r="J105" s="663">
        <f t="shared" si="17"/>
        <v>58.975382393644665</v>
      </c>
    </row>
    <row r="106" spans="2:10" x14ac:dyDescent="0.25">
      <c r="B106" s="675">
        <f>Amnt_Deposited!B98</f>
        <v>2037</v>
      </c>
      <c r="C106" s="676">
        <f>IF(Select2=1,Amnt_Deposited!E98,(Amnt_Deposited!E98+Amnt_Deposited!L98*Parameters!$E$46))</f>
        <v>359.85599999999999</v>
      </c>
      <c r="D106" s="677">
        <f>MCF!R105</f>
        <v>1</v>
      </c>
      <c r="E106" s="662">
        <f t="shared" si="12"/>
        <v>71.971199999999996</v>
      </c>
      <c r="F106" s="662">
        <f t="shared" si="13"/>
        <v>71.971199999999996</v>
      </c>
      <c r="G106" s="662">
        <f t="shared" si="14"/>
        <v>0</v>
      </c>
      <c r="H106" s="662">
        <f t="shared" si="15"/>
        <v>1364.5546932702559</v>
      </c>
      <c r="I106" s="662">
        <f t="shared" si="16"/>
        <v>79.9288993453697</v>
      </c>
      <c r="J106" s="663">
        <f t="shared" si="17"/>
        <v>58.614526186604451</v>
      </c>
    </row>
    <row r="107" spans="2:10" x14ac:dyDescent="0.25">
      <c r="B107" s="675">
        <f>Amnt_Deposited!B99</f>
        <v>2038</v>
      </c>
      <c r="C107" s="676">
        <f>IF(Select2=1,Amnt_Deposited!E99,(Amnt_Deposited!E99+Amnt_Deposited!L99*Parameters!$E$46))</f>
        <v>359.85599999999999</v>
      </c>
      <c r="D107" s="677">
        <f>MCF!R106</f>
        <v>1</v>
      </c>
      <c r="E107" s="662">
        <f t="shared" si="12"/>
        <v>71.971199999999996</v>
      </c>
      <c r="F107" s="662">
        <f t="shared" si="13"/>
        <v>71.971199999999996</v>
      </c>
      <c r="G107" s="662">
        <f t="shared" si="14"/>
        <v>0</v>
      </c>
      <c r="H107" s="662">
        <f t="shared" si="15"/>
        <v>1357.0604142578602</v>
      </c>
      <c r="I107" s="662">
        <f t="shared" si="16"/>
        <v>79.465479012395775</v>
      </c>
      <c r="J107" s="663">
        <f t="shared" si="17"/>
        <v>58.274684609090237</v>
      </c>
    </row>
    <row r="108" spans="2:10" x14ac:dyDescent="0.25">
      <c r="B108" s="675">
        <f>Amnt_Deposited!B100</f>
        <v>2039</v>
      </c>
      <c r="C108" s="676">
        <f>IF(Select2=1,Amnt_Deposited!E100,(Amnt_Deposited!E100+Amnt_Deposited!L100*Parameters!$E$46))</f>
        <v>359.85599999999999</v>
      </c>
      <c r="D108" s="677">
        <f>MCF!R107</f>
        <v>1</v>
      </c>
      <c r="E108" s="662">
        <f t="shared" si="12"/>
        <v>71.971199999999996</v>
      </c>
      <c r="F108" s="662">
        <f t="shared" si="13"/>
        <v>71.971199999999996</v>
      </c>
      <c r="G108" s="662">
        <f t="shared" si="14"/>
        <v>0</v>
      </c>
      <c r="H108" s="662">
        <f t="shared" si="15"/>
        <v>1350.002568079201</v>
      </c>
      <c r="I108" s="662">
        <f t="shared" si="16"/>
        <v>79.029046178659144</v>
      </c>
      <c r="J108" s="663">
        <f t="shared" si="17"/>
        <v>57.954633864350036</v>
      </c>
    </row>
    <row r="109" spans="2:10" ht="15.75" thickBot="1" x14ac:dyDescent="0.3">
      <c r="B109" s="678">
        <f>Amnt_Deposited!B101</f>
        <v>2040</v>
      </c>
      <c r="C109" s="665">
        <f>IF(Select2=1,Amnt_Deposited!E101,(Amnt_Deposited!E101+Amnt_Deposited!L101*Parameters!$E$46))</f>
        <v>359.85599999999999</v>
      </c>
      <c r="D109" s="679">
        <f>MCF!R108</f>
        <v>1</v>
      </c>
      <c r="E109" s="667">
        <f t="shared" si="12"/>
        <v>71.971199999999996</v>
      </c>
      <c r="F109" s="667">
        <f t="shared" si="13"/>
        <v>71.971199999999996</v>
      </c>
      <c r="G109" s="667">
        <f t="shared" si="14"/>
        <v>0</v>
      </c>
      <c r="H109" s="667">
        <f t="shared" si="15"/>
        <v>1343.3557388646466</v>
      </c>
      <c r="I109" s="667">
        <f t="shared" si="16"/>
        <v>78.618029214554284</v>
      </c>
      <c r="J109" s="668">
        <f t="shared" si="17"/>
        <v>57.653221424006475</v>
      </c>
    </row>
  </sheetData>
  <pageMargins left="0.7" right="0.7" top="0.78740157499999996" bottom="0.78740157499999996"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5"/>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28515625" style="281" customWidth="1"/>
    <col min="9" max="9" width="11.570312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28515625" style="44" customWidth="1"/>
    <col min="265" max="265" width="11.570312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28515625" style="44" customWidth="1"/>
    <col min="521" max="521" width="11.570312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28515625" style="44" customWidth="1"/>
    <col min="777" max="777" width="11.570312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28515625" style="44" customWidth="1"/>
    <col min="1033" max="1033" width="11.570312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28515625" style="44" customWidth="1"/>
    <col min="1289" max="1289" width="11.570312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28515625" style="44" customWidth="1"/>
    <col min="1545" max="1545" width="11.570312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28515625" style="44" customWidth="1"/>
    <col min="1801" max="1801" width="11.570312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28515625" style="44" customWidth="1"/>
    <col min="2057" max="2057" width="11.570312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28515625" style="44" customWidth="1"/>
    <col min="2313" max="2313" width="11.570312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28515625" style="44" customWidth="1"/>
    <col min="2569" max="2569" width="11.570312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28515625" style="44" customWidth="1"/>
    <col min="2825" max="2825" width="11.570312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28515625" style="44" customWidth="1"/>
    <col min="3081" max="3081" width="11.570312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28515625" style="44" customWidth="1"/>
    <col min="3337" max="3337" width="11.570312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28515625" style="44" customWidth="1"/>
    <col min="3593" max="3593" width="11.570312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28515625" style="44" customWidth="1"/>
    <col min="3849" max="3849" width="11.570312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28515625" style="44" customWidth="1"/>
    <col min="4105" max="4105" width="11.570312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28515625" style="44" customWidth="1"/>
    <col min="4361" max="4361" width="11.570312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28515625" style="44" customWidth="1"/>
    <col min="4617" max="4617" width="11.570312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28515625" style="44" customWidth="1"/>
    <col min="4873" max="4873" width="11.570312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28515625" style="44" customWidth="1"/>
    <col min="5129" max="5129" width="11.570312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28515625" style="44" customWidth="1"/>
    <col min="5385" max="5385" width="11.570312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28515625" style="44" customWidth="1"/>
    <col min="5641" max="5641" width="11.570312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28515625" style="44" customWidth="1"/>
    <col min="5897" max="5897" width="11.570312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28515625" style="44" customWidth="1"/>
    <col min="6153" max="6153" width="11.570312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28515625" style="44" customWidth="1"/>
    <col min="6409" max="6409" width="11.570312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28515625" style="44" customWidth="1"/>
    <col min="6665" max="6665" width="11.570312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28515625" style="44" customWidth="1"/>
    <col min="6921" max="6921" width="11.570312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28515625" style="44" customWidth="1"/>
    <col min="7177" max="7177" width="11.570312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28515625" style="44" customWidth="1"/>
    <col min="7433" max="7433" width="11.570312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28515625" style="44" customWidth="1"/>
    <col min="7689" max="7689" width="11.570312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28515625" style="44" customWidth="1"/>
    <col min="7945" max="7945" width="11.570312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28515625" style="44" customWidth="1"/>
    <col min="8201" max="8201" width="11.570312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28515625" style="44" customWidth="1"/>
    <col min="8457" max="8457" width="11.570312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28515625" style="44" customWidth="1"/>
    <col min="8713" max="8713" width="11.570312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28515625" style="44" customWidth="1"/>
    <col min="8969" max="8969" width="11.570312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28515625" style="44" customWidth="1"/>
    <col min="9225" max="9225" width="11.570312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28515625" style="44" customWidth="1"/>
    <col min="9481" max="9481" width="11.570312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28515625" style="44" customWidth="1"/>
    <col min="9737" max="9737" width="11.570312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28515625" style="44" customWidth="1"/>
    <col min="9993" max="9993" width="11.570312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28515625" style="44" customWidth="1"/>
    <col min="10249" max="10249" width="11.570312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28515625" style="44" customWidth="1"/>
    <col min="10505" max="10505" width="11.570312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28515625" style="44" customWidth="1"/>
    <col min="10761" max="10761" width="11.570312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28515625" style="44" customWidth="1"/>
    <col min="11017" max="11017" width="11.570312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28515625" style="44" customWidth="1"/>
    <col min="11273" max="11273" width="11.570312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28515625" style="44" customWidth="1"/>
    <col min="11529" max="11529" width="11.570312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28515625" style="44" customWidth="1"/>
    <col min="11785" max="11785" width="11.570312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28515625" style="44" customWidth="1"/>
    <col min="12041" max="12041" width="11.570312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28515625" style="44" customWidth="1"/>
    <col min="12297" max="12297" width="11.570312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28515625" style="44" customWidth="1"/>
    <col min="12553" max="12553" width="11.570312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28515625" style="44" customWidth="1"/>
    <col min="12809" max="12809" width="11.570312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28515625" style="44" customWidth="1"/>
    <col min="13065" max="13065" width="11.570312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28515625" style="44" customWidth="1"/>
    <col min="13321" max="13321" width="11.570312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28515625" style="44" customWidth="1"/>
    <col min="13577" max="13577" width="11.570312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28515625" style="44" customWidth="1"/>
    <col min="13833" max="13833" width="11.570312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28515625" style="44" customWidth="1"/>
    <col min="14089" max="14089" width="11.570312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28515625" style="44" customWidth="1"/>
    <col min="14345" max="14345" width="11.570312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28515625" style="44" customWidth="1"/>
    <col min="14601" max="14601" width="11.570312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28515625" style="44" customWidth="1"/>
    <col min="14857" max="14857" width="11.570312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28515625" style="44" customWidth="1"/>
    <col min="15113" max="15113" width="11.570312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28515625" style="44" customWidth="1"/>
    <col min="15369" max="15369" width="11.570312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28515625" style="44" customWidth="1"/>
    <col min="15625" max="15625" width="11.570312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28515625" style="44" customWidth="1"/>
    <col min="15881" max="15881" width="11.570312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28515625" style="44" customWidth="1"/>
    <col min="16137" max="16137" width="11.5703125" style="44" customWidth="1"/>
    <col min="16138" max="16138" width="10.28515625" style="44" customWidth="1"/>
    <col min="16139" max="16384" width="9.140625" style="44"/>
  </cols>
  <sheetData>
    <row r="2" spans="1:10" ht="15.75" x14ac:dyDescent="0.25">
      <c r="B2" s="669" t="s">
        <v>286</v>
      </c>
      <c r="C2" s="585"/>
      <c r="D2" s="586"/>
      <c r="E2" s="587"/>
      <c r="F2" s="587"/>
      <c r="G2" s="587"/>
      <c r="H2" s="587"/>
      <c r="I2" s="587"/>
      <c r="J2" s="587"/>
    </row>
    <row r="3" spans="1:10" ht="15.75" x14ac:dyDescent="0.25">
      <c r="B3" s="588" t="str">
        <f>IF(Select2=2,"Having chosen the bulk waste option, this sheet applies only to Harvested Wood Products calculations","")</f>
        <v/>
      </c>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Parameters!M16</f>
        <v>0.43</v>
      </c>
      <c r="J6" s="596"/>
    </row>
    <row r="7" spans="1:10" ht="15.75" thickBot="1" x14ac:dyDescent="0.3">
      <c r="B7" s="593"/>
      <c r="C7" s="594"/>
      <c r="D7" s="603" t="s">
        <v>257</v>
      </c>
      <c r="E7" s="604"/>
      <c r="F7" s="604"/>
      <c r="G7" s="605"/>
      <c r="H7" s="606" t="s">
        <v>257</v>
      </c>
      <c r="I7" s="680">
        <f>DOCF</f>
        <v>0.5</v>
      </c>
      <c r="J7" s="596"/>
    </row>
    <row r="8" spans="1:10" x14ac:dyDescent="0.25">
      <c r="D8" s="598" t="s">
        <v>258</v>
      </c>
      <c r="E8" s="599"/>
      <c r="F8" s="599"/>
      <c r="G8" s="600"/>
      <c r="H8" s="601" t="s">
        <v>259</v>
      </c>
      <c r="I8" s="608">
        <f>Parameters!M30</f>
        <v>0.03</v>
      </c>
      <c r="J8" s="609"/>
    </row>
    <row r="9" spans="1:10" ht="15.75" x14ac:dyDescent="0.3">
      <c r="D9" s="610" t="s">
        <v>260</v>
      </c>
      <c r="E9" s="611"/>
      <c r="F9" s="611"/>
      <c r="G9" s="612"/>
      <c r="H9" s="613" t="s">
        <v>261</v>
      </c>
      <c r="I9" s="614">
        <f>LN(2)/$I$8</f>
        <v>23.104906018664845</v>
      </c>
      <c r="J9" s="609"/>
    </row>
    <row r="10" spans="1:10" x14ac:dyDescent="0.25">
      <c r="D10" s="615" t="s">
        <v>262</v>
      </c>
      <c r="E10" s="616"/>
      <c r="F10" s="616"/>
      <c r="G10" s="617"/>
      <c r="H10" s="618" t="s">
        <v>263</v>
      </c>
      <c r="I10" s="619">
        <f>EXP(-$I$8)</f>
        <v>0.97044553354850815</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71"/>
      <c r="D18" s="649"/>
      <c r="E18" s="650"/>
      <c r="F18" s="651"/>
      <c r="G18" s="651"/>
      <c r="H18" s="651"/>
      <c r="I18" s="651"/>
      <c r="J18" s="652"/>
    </row>
    <row r="19" spans="2:10" x14ac:dyDescent="0.25">
      <c r="B19" s="672">
        <f>Amnt_Deposited!B11</f>
        <v>1950</v>
      </c>
      <c r="C19" s="673">
        <f>IF(Select2=1,Amnt_Deposited!F11,(Amnt_Deposited!F11+Amnt_Deposited!L11*Parameters!$E$47))</f>
        <v>256.5</v>
      </c>
      <c r="D19" s="674">
        <f>MCF!R18</f>
        <v>0.6</v>
      </c>
      <c r="E19" s="656">
        <f>C19*$I$6*DOCF*D19</f>
        <v>33.088499999999996</v>
      </c>
      <c r="F19" s="657">
        <f t="shared" ref="F19:F82" si="0">E19*$I$12</f>
        <v>33.088499999999996</v>
      </c>
      <c r="G19" s="657">
        <f>E19*(1-$I$12)</f>
        <v>0</v>
      </c>
      <c r="H19" s="657">
        <f>F19+H18*$I$10</f>
        <v>33.088499999999996</v>
      </c>
      <c r="I19" s="657">
        <f>H18*(1-$I$10)+G19</f>
        <v>0</v>
      </c>
      <c r="J19" s="658">
        <f>I19*CH4_fraction*conv</f>
        <v>0</v>
      </c>
    </row>
    <row r="20" spans="2:10" x14ac:dyDescent="0.25">
      <c r="B20" s="675">
        <f>Amnt_Deposited!B12</f>
        <v>1951</v>
      </c>
      <c r="C20" s="676">
        <f>IF(Select2=1,Amnt_Deposited!F12,(Amnt_Deposited!F12+Amnt_Deposited!L12*Parameters!$E$47))</f>
        <v>256.5</v>
      </c>
      <c r="D20" s="677">
        <f>MCF!R19</f>
        <v>0.6</v>
      </c>
      <c r="E20" s="662">
        <f t="shared" ref="E20:E83" si="1">C20*$I$6*DOCF*D20</f>
        <v>33.088499999999996</v>
      </c>
      <c r="F20" s="662">
        <f t="shared" si="0"/>
        <v>33.088499999999996</v>
      </c>
      <c r="G20" s="662">
        <f t="shared" ref="G20:G83" si="2">E20*(1-$I$12)</f>
        <v>0</v>
      </c>
      <c r="H20" s="662">
        <f t="shared" ref="H20:H83" si="3">F20+H19*$I$10</f>
        <v>65.199087036819805</v>
      </c>
      <c r="I20" s="662">
        <f t="shared" ref="I20:I83" si="4">H19*(1-$I$10)+G20</f>
        <v>0.97791296318018783</v>
      </c>
      <c r="J20" s="663">
        <f>I20*CH4_fraction*conv</f>
        <v>0.71713617299880439</v>
      </c>
    </row>
    <row r="21" spans="2:10" x14ac:dyDescent="0.25">
      <c r="B21" s="675">
        <f>Amnt_Deposited!B13</f>
        <v>1952</v>
      </c>
      <c r="C21" s="676">
        <f>IF(Select2=1,Amnt_Deposited!F13,(Amnt_Deposited!F13+Amnt_Deposited!L13*Parameters!$E$47))</f>
        <v>256.5</v>
      </c>
      <c r="D21" s="677">
        <f>MCF!R20</f>
        <v>0.6</v>
      </c>
      <c r="E21" s="662">
        <f t="shared" si="1"/>
        <v>33.088499999999996</v>
      </c>
      <c r="F21" s="662">
        <f t="shared" si="0"/>
        <v>33.088499999999996</v>
      </c>
      <c r="G21" s="662">
        <f t="shared" si="2"/>
        <v>0</v>
      </c>
      <c r="H21" s="662">
        <f t="shared" si="3"/>
        <v>96.36066280632221</v>
      </c>
      <c r="I21" s="662">
        <f t="shared" si="4"/>
        <v>1.9269242304975878</v>
      </c>
      <c r="J21" s="663">
        <f t="shared" ref="J21:J84" si="5">I21*CH4_fraction*conv</f>
        <v>1.4130777690315643</v>
      </c>
    </row>
    <row r="22" spans="2:10" x14ac:dyDescent="0.25">
      <c r="B22" s="675">
        <f>Amnt_Deposited!B14</f>
        <v>1953</v>
      </c>
      <c r="C22" s="676">
        <f>IF(Select2=1,Amnt_Deposited!F14,(Amnt_Deposited!F14+Amnt_Deposited!L14*Parameters!$E$47))</f>
        <v>256.5</v>
      </c>
      <c r="D22" s="677">
        <f>MCF!R21</f>
        <v>0.6</v>
      </c>
      <c r="E22" s="662">
        <f t="shared" si="1"/>
        <v>33.088499999999996</v>
      </c>
      <c r="F22" s="662">
        <f t="shared" si="0"/>
        <v>33.088499999999996</v>
      </c>
      <c r="G22" s="662">
        <f t="shared" si="2"/>
        <v>0</v>
      </c>
      <c r="H22" s="662">
        <f t="shared" si="3"/>
        <v>126.60127483016925</v>
      </c>
      <c r="I22" s="662">
        <f t="shared" si="4"/>
        <v>2.8478879761529678</v>
      </c>
      <c r="J22" s="663">
        <f t="shared" si="5"/>
        <v>2.0884511825121765</v>
      </c>
    </row>
    <row r="23" spans="2:10" x14ac:dyDescent="0.25">
      <c r="B23" s="675">
        <f>Amnt_Deposited!B15</f>
        <v>1954</v>
      </c>
      <c r="C23" s="676">
        <f>IF(Select2=1,Amnt_Deposited!F15,(Amnt_Deposited!F15+Amnt_Deposited!L15*Parameters!$E$47))</f>
        <v>256.5</v>
      </c>
      <c r="D23" s="677">
        <f>MCF!R22</f>
        <v>0.6</v>
      </c>
      <c r="E23" s="662">
        <f t="shared" si="1"/>
        <v>33.088499999999996</v>
      </c>
      <c r="F23" s="662">
        <f t="shared" si="0"/>
        <v>33.088499999999996</v>
      </c>
      <c r="G23" s="662">
        <f t="shared" si="2"/>
        <v>0</v>
      </c>
      <c r="H23" s="662">
        <f t="shared" si="3"/>
        <v>155.94814170048491</v>
      </c>
      <c r="I23" s="662">
        <f t="shared" si="4"/>
        <v>3.7416331296843359</v>
      </c>
      <c r="J23" s="663">
        <f t="shared" si="5"/>
        <v>2.7438642951018464</v>
      </c>
    </row>
    <row r="24" spans="2:10" x14ac:dyDescent="0.25">
      <c r="B24" s="675">
        <f>Amnt_Deposited!B16</f>
        <v>1955</v>
      </c>
      <c r="C24" s="676">
        <f>IF(Select2=1,Amnt_Deposited!F16,(Amnt_Deposited!F16+Amnt_Deposited!L16*Parameters!$E$47))</f>
        <v>256.5</v>
      </c>
      <c r="D24" s="677">
        <f>MCF!R23</f>
        <v>0.6</v>
      </c>
      <c r="E24" s="662">
        <f t="shared" si="1"/>
        <v>33.088499999999996</v>
      </c>
      <c r="F24" s="662">
        <f t="shared" si="0"/>
        <v>33.088499999999996</v>
      </c>
      <c r="G24" s="662">
        <f t="shared" si="2"/>
        <v>0</v>
      </c>
      <c r="H24" s="662">
        <f t="shared" si="3"/>
        <v>184.4276775784254</v>
      </c>
      <c r="I24" s="662">
        <f t="shared" si="4"/>
        <v>4.6089641220594775</v>
      </c>
      <c r="J24" s="663">
        <f t="shared" si="5"/>
        <v>3.379907022843617</v>
      </c>
    </row>
    <row r="25" spans="2:10" x14ac:dyDescent="0.25">
      <c r="B25" s="675">
        <f>Amnt_Deposited!B17</f>
        <v>1956</v>
      </c>
      <c r="C25" s="676">
        <f>IF(Select2=1,Amnt_Deposited!F17,(Amnt_Deposited!F17+Amnt_Deposited!L17*Parameters!$E$47))</f>
        <v>256.5</v>
      </c>
      <c r="D25" s="677">
        <f>MCF!R24</f>
        <v>0.6</v>
      </c>
      <c r="E25" s="662">
        <f t="shared" si="1"/>
        <v>33.088499999999996</v>
      </c>
      <c r="F25" s="662">
        <f t="shared" si="0"/>
        <v>33.088499999999996</v>
      </c>
      <c r="G25" s="662">
        <f t="shared" si="2"/>
        <v>0</v>
      </c>
      <c r="H25" s="662">
        <f t="shared" si="3"/>
        <v>212.06551596870725</v>
      </c>
      <c r="I25" s="662">
        <f t="shared" si="4"/>
        <v>5.4506616097181286</v>
      </c>
      <c r="J25" s="663">
        <f t="shared" si="5"/>
        <v>3.9971518471266276</v>
      </c>
    </row>
    <row r="26" spans="2:10" x14ac:dyDescent="0.25">
      <c r="B26" s="675">
        <f>Amnt_Deposited!B18</f>
        <v>1957</v>
      </c>
      <c r="C26" s="676">
        <f>IF(Select2=1,Amnt_Deposited!F18,(Amnt_Deposited!F18+Amnt_Deposited!L18*Parameters!$E$47))</f>
        <v>256.5</v>
      </c>
      <c r="D26" s="677">
        <f>MCF!R25</f>
        <v>0.6</v>
      </c>
      <c r="E26" s="662">
        <f t="shared" si="1"/>
        <v>33.088499999999996</v>
      </c>
      <c r="F26" s="662">
        <f t="shared" si="0"/>
        <v>33.088499999999996</v>
      </c>
      <c r="G26" s="662">
        <f t="shared" si="2"/>
        <v>0</v>
      </c>
      <c r="H26" s="662">
        <f t="shared" si="3"/>
        <v>238.88653279149179</v>
      </c>
      <c r="I26" s="662">
        <f t="shared" si="4"/>
        <v>6.2674831772154667</v>
      </c>
      <c r="J26" s="663">
        <f t="shared" si="5"/>
        <v>4.5961543299580088</v>
      </c>
    </row>
    <row r="27" spans="2:10" x14ac:dyDescent="0.25">
      <c r="B27" s="675">
        <f>Amnt_Deposited!B19</f>
        <v>1958</v>
      </c>
      <c r="C27" s="676">
        <f>IF(Select2=1,Amnt_Deposited!F19,(Amnt_Deposited!F19+Amnt_Deposited!L19*Parameters!$E$47))</f>
        <v>256.5</v>
      </c>
      <c r="D27" s="677">
        <f>MCF!R26</f>
        <v>0.6</v>
      </c>
      <c r="E27" s="662">
        <f t="shared" si="1"/>
        <v>33.088499999999996</v>
      </c>
      <c r="F27" s="662">
        <f t="shared" si="0"/>
        <v>33.088499999999996</v>
      </c>
      <c r="G27" s="662">
        <f t="shared" si="2"/>
        <v>0</v>
      </c>
      <c r="H27" s="662">
        <f t="shared" si="3"/>
        <v>264.91486877239242</v>
      </c>
      <c r="I27" s="662">
        <f t="shared" si="4"/>
        <v>7.0601640190993509</v>
      </c>
      <c r="J27" s="663">
        <f t="shared" si="5"/>
        <v>5.1774536140061906</v>
      </c>
    </row>
    <row r="28" spans="2:10" x14ac:dyDescent="0.25">
      <c r="B28" s="675">
        <f>Amnt_Deposited!B20</f>
        <v>1959</v>
      </c>
      <c r="C28" s="676">
        <f>IF(Select2=1,Amnt_Deposited!F20,(Amnt_Deposited!F20+Amnt_Deposited!L20*Parameters!$E$47))</f>
        <v>256.5</v>
      </c>
      <c r="D28" s="677">
        <f>MCF!R27</f>
        <v>0.6</v>
      </c>
      <c r="E28" s="662">
        <f t="shared" si="1"/>
        <v>33.088499999999996</v>
      </c>
      <c r="F28" s="662">
        <f t="shared" si="0"/>
        <v>33.088499999999996</v>
      </c>
      <c r="G28" s="662">
        <f t="shared" si="2"/>
        <v>0</v>
      </c>
      <c r="H28" s="662">
        <f t="shared" si="3"/>
        <v>290.17395117075739</v>
      </c>
      <c r="I28" s="662">
        <f t="shared" si="4"/>
        <v>7.8294176016350363</v>
      </c>
      <c r="J28" s="663">
        <f t="shared" si="5"/>
        <v>5.7415729078656934</v>
      </c>
    </row>
    <row r="29" spans="2:10" x14ac:dyDescent="0.25">
      <c r="B29" s="675">
        <f>Amnt_Deposited!B21</f>
        <v>1960</v>
      </c>
      <c r="C29" s="676">
        <f>IF(Select2=1,Amnt_Deposited!F21,(Amnt_Deposited!F21+Amnt_Deposited!L21*Parameters!$E$47))</f>
        <v>256.5</v>
      </c>
      <c r="D29" s="677">
        <f>MCF!R28</f>
        <v>0.6</v>
      </c>
      <c r="E29" s="662">
        <f t="shared" si="1"/>
        <v>33.088499999999996</v>
      </c>
      <c r="F29" s="662">
        <f t="shared" si="0"/>
        <v>33.088499999999996</v>
      </c>
      <c r="G29" s="662">
        <f t="shared" si="2"/>
        <v>0</v>
      </c>
      <c r="H29" s="662">
        <f t="shared" si="3"/>
        <v>314.68651486578443</v>
      </c>
      <c r="I29" s="662">
        <f t="shared" si="4"/>
        <v>8.5759363049729824</v>
      </c>
      <c r="J29" s="663">
        <f t="shared" si="5"/>
        <v>6.2890199569801872</v>
      </c>
    </row>
    <row r="30" spans="2:10" x14ac:dyDescent="0.25">
      <c r="B30" s="675">
        <f>Amnt_Deposited!B22</f>
        <v>1961</v>
      </c>
      <c r="C30" s="676">
        <f>IF(Select2=1,Amnt_Deposited!F22,(Amnt_Deposited!F22+Amnt_Deposited!L22*Parameters!$E$47))</f>
        <v>256.5</v>
      </c>
      <c r="D30" s="677">
        <f>MCF!R29</f>
        <v>0.6</v>
      </c>
      <c r="E30" s="662">
        <f t="shared" si="1"/>
        <v>33.088499999999996</v>
      </c>
      <c r="F30" s="662">
        <f t="shared" si="0"/>
        <v>33.088499999999996</v>
      </c>
      <c r="G30" s="662">
        <f t="shared" si="2"/>
        <v>0</v>
      </c>
      <c r="H30" s="662">
        <f t="shared" si="3"/>
        <v>338.47462281944672</v>
      </c>
      <c r="I30" s="662">
        <f t="shared" si="4"/>
        <v>9.3003920463377163</v>
      </c>
      <c r="J30" s="663">
        <f t="shared" si="5"/>
        <v>6.8202875006476589</v>
      </c>
    </row>
    <row r="31" spans="2:10" x14ac:dyDescent="0.25">
      <c r="B31" s="675">
        <f>Amnt_Deposited!B23</f>
        <v>1962</v>
      </c>
      <c r="C31" s="676">
        <f>IF(Select2=1,Amnt_Deposited!F23,(Amnt_Deposited!F23+Amnt_Deposited!L23*Parameters!$E$47))</f>
        <v>256.5</v>
      </c>
      <c r="D31" s="677">
        <f>MCF!R30</f>
        <v>0.6</v>
      </c>
      <c r="E31" s="662">
        <f t="shared" si="1"/>
        <v>33.088499999999996</v>
      </c>
      <c r="F31" s="662">
        <f t="shared" si="0"/>
        <v>33.088499999999996</v>
      </c>
      <c r="G31" s="662">
        <f t="shared" si="2"/>
        <v>0</v>
      </c>
      <c r="H31" s="662">
        <f t="shared" si="3"/>
        <v>361.55968593464803</v>
      </c>
      <c r="I31" s="662">
        <f t="shared" si="4"/>
        <v>10.003436884798694</v>
      </c>
      <c r="J31" s="663">
        <f t="shared" si="5"/>
        <v>7.3358537155190415</v>
      </c>
    </row>
    <row r="32" spans="2:10" x14ac:dyDescent="0.25">
      <c r="B32" s="675">
        <f>Amnt_Deposited!B24</f>
        <v>1963</v>
      </c>
      <c r="C32" s="676">
        <f>IF(Select2=1,Amnt_Deposited!F24,(Amnt_Deposited!F24+Amnt_Deposited!L24*Parameters!$E$47))</f>
        <v>256.5</v>
      </c>
      <c r="D32" s="677">
        <f>MCF!R31</f>
        <v>0.6</v>
      </c>
      <c r="E32" s="662">
        <f t="shared" si="1"/>
        <v>33.088499999999996</v>
      </c>
      <c r="F32" s="662">
        <f t="shared" si="0"/>
        <v>33.088499999999996</v>
      </c>
      <c r="G32" s="662">
        <f t="shared" si="2"/>
        <v>0</v>
      </c>
      <c r="H32" s="662">
        <f t="shared" si="3"/>
        <v>383.96248232648054</v>
      </c>
      <c r="I32" s="662">
        <f t="shared" si="4"/>
        <v>10.685703608167483</v>
      </c>
      <c r="J32" s="663">
        <f t="shared" si="5"/>
        <v>7.8361826459894885</v>
      </c>
    </row>
    <row r="33" spans="2:10" x14ac:dyDescent="0.25">
      <c r="B33" s="675">
        <f>Amnt_Deposited!B25</f>
        <v>1964</v>
      </c>
      <c r="C33" s="676">
        <f>IF(Select2=1,Amnt_Deposited!F25,(Amnt_Deposited!F25+Amnt_Deposited!L25*Parameters!$E$47))</f>
        <v>256.5</v>
      </c>
      <c r="D33" s="677">
        <f>MCF!R32</f>
        <v>0.6</v>
      </c>
      <c r="E33" s="662">
        <f t="shared" si="1"/>
        <v>33.088499999999996</v>
      </c>
      <c r="F33" s="662">
        <f t="shared" si="0"/>
        <v>33.088499999999996</v>
      </c>
      <c r="G33" s="662">
        <f t="shared" si="2"/>
        <v>0</v>
      </c>
      <c r="H33" s="662">
        <f t="shared" si="3"/>
        <v>405.70317602393106</v>
      </c>
      <c r="I33" s="662">
        <f t="shared" si="4"/>
        <v>11.3478063025495</v>
      </c>
      <c r="J33" s="663">
        <f t="shared" si="5"/>
        <v>8.3217246218696346</v>
      </c>
    </row>
    <row r="34" spans="2:10" x14ac:dyDescent="0.25">
      <c r="B34" s="675">
        <f>Amnt_Deposited!B26</f>
        <v>1965</v>
      </c>
      <c r="C34" s="676">
        <f>IF(Select2=1,Amnt_Deposited!F26,(Amnt_Deposited!F26+Amnt_Deposited!L26*Parameters!$E$47))</f>
        <v>256.5</v>
      </c>
      <c r="D34" s="677">
        <f>MCF!R33</f>
        <v>0.6</v>
      </c>
      <c r="E34" s="662">
        <f t="shared" si="1"/>
        <v>33.088499999999996</v>
      </c>
      <c r="F34" s="662">
        <f t="shared" si="0"/>
        <v>33.088499999999996</v>
      </c>
      <c r="G34" s="662">
        <f t="shared" si="2"/>
        <v>0</v>
      </c>
      <c r="H34" s="662">
        <f t="shared" si="3"/>
        <v>426.80133511886811</v>
      </c>
      <c r="I34" s="662">
        <f t="shared" si="4"/>
        <v>11.990340905062961</v>
      </c>
      <c r="J34" s="663">
        <f t="shared" si="5"/>
        <v>8.7929166637128375</v>
      </c>
    </row>
    <row r="35" spans="2:10" x14ac:dyDescent="0.25">
      <c r="B35" s="675">
        <f>Amnt_Deposited!B27</f>
        <v>1966</v>
      </c>
      <c r="C35" s="676">
        <f>IF(Select2=1,Amnt_Deposited!F27,(Amnt_Deposited!F27+Amnt_Deposited!L27*Parameters!$E$47))</f>
        <v>256.5</v>
      </c>
      <c r="D35" s="677">
        <f>MCF!R34</f>
        <v>0.6</v>
      </c>
      <c r="E35" s="662">
        <f t="shared" si="1"/>
        <v>33.088499999999996</v>
      </c>
      <c r="F35" s="662">
        <f t="shared" si="0"/>
        <v>33.088499999999996</v>
      </c>
      <c r="G35" s="662">
        <f t="shared" si="2"/>
        <v>0</v>
      </c>
      <c r="H35" s="662">
        <f t="shared" si="3"/>
        <v>447.27594937864558</v>
      </c>
      <c r="I35" s="662">
        <f t="shared" si="4"/>
        <v>12.613885740222516</v>
      </c>
      <c r="J35" s="663">
        <f t="shared" si="5"/>
        <v>9.2501828761631781</v>
      </c>
    </row>
    <row r="36" spans="2:10" x14ac:dyDescent="0.25">
      <c r="B36" s="675">
        <f>Amnt_Deposited!B28</f>
        <v>1967</v>
      </c>
      <c r="C36" s="676">
        <f>IF(Select2=1,Amnt_Deposited!F28,(Amnt_Deposited!F28+Amnt_Deposited!L28*Parameters!$E$47))</f>
        <v>256.5</v>
      </c>
      <c r="D36" s="677">
        <f>MCF!R35</f>
        <v>0.6</v>
      </c>
      <c r="E36" s="662">
        <f t="shared" si="1"/>
        <v>33.088499999999996</v>
      </c>
      <c r="F36" s="662">
        <f t="shared" si="0"/>
        <v>33.088499999999996</v>
      </c>
      <c r="G36" s="662">
        <f t="shared" si="2"/>
        <v>0</v>
      </c>
      <c r="H36" s="662">
        <f t="shared" si="3"/>
        <v>467.14544733817525</v>
      </c>
      <c r="I36" s="662">
        <f t="shared" si="4"/>
        <v>13.219002040470345</v>
      </c>
      <c r="J36" s="663">
        <f t="shared" si="5"/>
        <v>9.6939348296782537</v>
      </c>
    </row>
    <row r="37" spans="2:10" x14ac:dyDescent="0.25">
      <c r="B37" s="675">
        <f>Amnt_Deposited!B29</f>
        <v>1968</v>
      </c>
      <c r="C37" s="676">
        <f>IF(Select2=1,Amnt_Deposited!F29,(Amnt_Deposited!F29+Amnt_Deposited!L29*Parameters!$E$47))</f>
        <v>256.5</v>
      </c>
      <c r="D37" s="677">
        <f>MCF!R36</f>
        <v>0.6</v>
      </c>
      <c r="E37" s="662">
        <f t="shared" si="1"/>
        <v>33.088499999999996</v>
      </c>
      <c r="F37" s="662">
        <f t="shared" si="0"/>
        <v>33.088499999999996</v>
      </c>
      <c r="G37" s="662">
        <f t="shared" si="2"/>
        <v>0</v>
      </c>
      <c r="H37" s="662">
        <f t="shared" si="3"/>
        <v>486.42771288685202</v>
      </c>
      <c r="I37" s="662">
        <f t="shared" si="4"/>
        <v>13.806234451323251</v>
      </c>
      <c r="J37" s="663">
        <f t="shared" si="5"/>
        <v>10.124571930970383</v>
      </c>
    </row>
    <row r="38" spans="2:10" x14ac:dyDescent="0.25">
      <c r="B38" s="675">
        <f>Amnt_Deposited!B30</f>
        <v>1969</v>
      </c>
      <c r="C38" s="676">
        <f>IF(Select2=1,Amnt_Deposited!F30,(Amnt_Deposited!F30+Amnt_Deposited!L30*Parameters!$E$47))</f>
        <v>256.5</v>
      </c>
      <c r="D38" s="677">
        <f>MCF!R37</f>
        <v>0.6</v>
      </c>
      <c r="E38" s="662">
        <f t="shared" si="1"/>
        <v>33.088499999999996</v>
      </c>
      <c r="F38" s="662">
        <f t="shared" si="0"/>
        <v>33.088499999999996</v>
      </c>
      <c r="G38" s="662">
        <f t="shared" si="2"/>
        <v>0</v>
      </c>
      <c r="H38" s="662">
        <f t="shared" si="3"/>
        <v>505.14010136526167</v>
      </c>
      <c r="I38" s="662">
        <f t="shared" si="4"/>
        <v>14.376111521590376</v>
      </c>
      <c r="J38" s="663">
        <f t="shared" si="5"/>
        <v>10.54248178249961</v>
      </c>
    </row>
    <row r="39" spans="2:10" x14ac:dyDescent="0.25">
      <c r="B39" s="675">
        <f>Amnt_Deposited!B31</f>
        <v>1970</v>
      </c>
      <c r="C39" s="676">
        <f>IF(Select2=1,Amnt_Deposited!F31,(Amnt_Deposited!F31+Amnt_Deposited!L31*Parameters!$E$47))</f>
        <v>256.5</v>
      </c>
      <c r="D39" s="677">
        <f>MCF!R38</f>
        <v>0.8</v>
      </c>
      <c r="E39" s="662">
        <f t="shared" si="1"/>
        <v>44.118000000000002</v>
      </c>
      <c r="F39" s="662">
        <f t="shared" si="0"/>
        <v>44.118000000000002</v>
      </c>
      <c r="G39" s="662">
        <f t="shared" si="2"/>
        <v>0</v>
      </c>
      <c r="H39" s="662">
        <f t="shared" si="3"/>
        <v>534.32895518615885</v>
      </c>
      <c r="I39" s="662">
        <f t="shared" si="4"/>
        <v>14.929146179102815</v>
      </c>
      <c r="J39" s="663">
        <f t="shared" si="5"/>
        <v>10.948040531342066</v>
      </c>
    </row>
    <row r="40" spans="2:10" x14ac:dyDescent="0.25">
      <c r="B40" s="675">
        <f>Amnt_Deposited!B32</f>
        <v>1971</v>
      </c>
      <c r="C40" s="676">
        <f>IF(Select2=1,Amnt_Deposited!F32,(Amnt_Deposited!F32+Amnt_Deposited!L32*Parameters!$E$47))</f>
        <v>256.5</v>
      </c>
      <c r="D40" s="677">
        <f>MCF!R39</f>
        <v>0.8</v>
      </c>
      <c r="E40" s="662">
        <f t="shared" si="1"/>
        <v>44.118000000000002</v>
      </c>
      <c r="F40" s="662">
        <f t="shared" si="0"/>
        <v>44.118000000000002</v>
      </c>
      <c r="G40" s="662">
        <f t="shared" si="2"/>
        <v>0</v>
      </c>
      <c r="H40" s="662">
        <f t="shared" si="3"/>
        <v>562.65514800604888</v>
      </c>
      <c r="I40" s="662">
        <f t="shared" si="4"/>
        <v>15.791807180110021</v>
      </c>
      <c r="J40" s="663">
        <f t="shared" si="5"/>
        <v>11.58065859874735</v>
      </c>
    </row>
    <row r="41" spans="2:10" x14ac:dyDescent="0.25">
      <c r="B41" s="675">
        <f>Amnt_Deposited!B33</f>
        <v>1972</v>
      </c>
      <c r="C41" s="676">
        <f>IF(Select2=1,Amnt_Deposited!F33,(Amnt_Deposited!F33+Amnt_Deposited!L33*Parameters!$E$47))</f>
        <v>256.5</v>
      </c>
      <c r="D41" s="677">
        <f>MCF!R40</f>
        <v>0.8</v>
      </c>
      <c r="E41" s="662">
        <f t="shared" si="1"/>
        <v>44.118000000000002</v>
      </c>
      <c r="F41" s="662">
        <f t="shared" si="0"/>
        <v>44.118000000000002</v>
      </c>
      <c r="G41" s="662">
        <f t="shared" si="2"/>
        <v>0</v>
      </c>
      <c r="H41" s="662">
        <f t="shared" si="3"/>
        <v>590.14417531054494</v>
      </c>
      <c r="I41" s="662">
        <f t="shared" si="4"/>
        <v>16.628972695503951</v>
      </c>
      <c r="J41" s="663">
        <f t="shared" si="5"/>
        <v>12.194579976702897</v>
      </c>
    </row>
    <row r="42" spans="2:10" x14ac:dyDescent="0.25">
      <c r="B42" s="675">
        <f>Amnt_Deposited!B34</f>
        <v>1973</v>
      </c>
      <c r="C42" s="676">
        <f>IF(Select2=1,Amnt_Deposited!F34,(Amnt_Deposited!F34+Amnt_Deposited!L34*Parameters!$E$47))</f>
        <v>256.5</v>
      </c>
      <c r="D42" s="677">
        <f>MCF!R41</f>
        <v>0.8</v>
      </c>
      <c r="E42" s="662">
        <f t="shared" si="1"/>
        <v>44.118000000000002</v>
      </c>
      <c r="F42" s="662">
        <f t="shared" si="0"/>
        <v>44.118000000000002</v>
      </c>
      <c r="G42" s="662">
        <f t="shared" si="2"/>
        <v>0</v>
      </c>
      <c r="H42" s="662">
        <f t="shared" si="3"/>
        <v>616.82077907978612</v>
      </c>
      <c r="I42" s="662">
        <f t="shared" si="4"/>
        <v>17.441396230758823</v>
      </c>
      <c r="J42" s="663">
        <f t="shared" si="5"/>
        <v>12.790357235889804</v>
      </c>
    </row>
    <row r="43" spans="2:10" x14ac:dyDescent="0.25">
      <c r="B43" s="675">
        <f>Amnt_Deposited!B35</f>
        <v>1974</v>
      </c>
      <c r="C43" s="676">
        <f>IF(Select2=1,Amnt_Deposited!F35,(Amnt_Deposited!F35+Amnt_Deposited!L35*Parameters!$E$47))</f>
        <v>256.5</v>
      </c>
      <c r="D43" s="677">
        <f>MCF!R42</f>
        <v>0.8</v>
      </c>
      <c r="E43" s="662">
        <f t="shared" si="1"/>
        <v>44.118000000000002</v>
      </c>
      <c r="F43" s="662">
        <f t="shared" si="0"/>
        <v>44.118000000000002</v>
      </c>
      <c r="G43" s="662">
        <f t="shared" si="2"/>
        <v>0</v>
      </c>
      <c r="H43" s="662">
        <f t="shared" si="3"/>
        <v>642.70897005788959</v>
      </c>
      <c r="I43" s="662">
        <f t="shared" si="4"/>
        <v>18.229809021896603</v>
      </c>
      <c r="J43" s="663">
        <f t="shared" si="5"/>
        <v>13.36852661605751</v>
      </c>
    </row>
    <row r="44" spans="2:10" x14ac:dyDescent="0.25">
      <c r="B44" s="675">
        <f>Amnt_Deposited!B36</f>
        <v>1975</v>
      </c>
      <c r="C44" s="676">
        <f>IF(Select2=1,Amnt_Deposited!F36,(Amnt_Deposited!F36+Amnt_Deposited!L36*Parameters!$E$47))</f>
        <v>256.5</v>
      </c>
      <c r="D44" s="677">
        <f>MCF!R43</f>
        <v>0.8</v>
      </c>
      <c r="E44" s="662">
        <f t="shared" si="1"/>
        <v>44.118000000000002</v>
      </c>
      <c r="F44" s="662">
        <f t="shared" si="0"/>
        <v>44.118000000000002</v>
      </c>
      <c r="G44" s="662">
        <f t="shared" si="2"/>
        <v>0</v>
      </c>
      <c r="H44" s="662">
        <f t="shared" si="3"/>
        <v>667.8320493642409</v>
      </c>
      <c r="I44" s="662">
        <f t="shared" si="4"/>
        <v>18.994920693648776</v>
      </c>
      <c r="J44" s="663">
        <f t="shared" si="5"/>
        <v>13.92960850867577</v>
      </c>
    </row>
    <row r="45" spans="2:10" x14ac:dyDescent="0.25">
      <c r="B45" s="675">
        <f>Amnt_Deposited!B37</f>
        <v>1976</v>
      </c>
      <c r="C45" s="676">
        <f>IF(Select2=1,Amnt_Deposited!F37,(Amnt_Deposited!F37+Amnt_Deposited!L37*Parameters!$E$47))</f>
        <v>256.5</v>
      </c>
      <c r="D45" s="677">
        <f>MCF!R44</f>
        <v>0.8</v>
      </c>
      <c r="E45" s="662">
        <f t="shared" si="1"/>
        <v>44.118000000000002</v>
      </c>
      <c r="F45" s="662">
        <f t="shared" si="0"/>
        <v>44.118000000000002</v>
      </c>
      <c r="G45" s="662">
        <f t="shared" si="2"/>
        <v>0</v>
      </c>
      <c r="H45" s="662">
        <f t="shared" si="3"/>
        <v>692.21262946607442</v>
      </c>
      <c r="I45" s="662">
        <f t="shared" si="4"/>
        <v>19.737419898166504</v>
      </c>
      <c r="J45" s="663">
        <f t="shared" si="5"/>
        <v>14.474107925322103</v>
      </c>
    </row>
    <row r="46" spans="2:10" x14ac:dyDescent="0.25">
      <c r="B46" s="675">
        <f>Amnt_Deposited!B38</f>
        <v>1977</v>
      </c>
      <c r="C46" s="676">
        <f>IF(Select2=1,Amnt_Deposited!F38,(Amnt_Deposited!F38+Amnt_Deposited!L38*Parameters!$E$47))</f>
        <v>256.5</v>
      </c>
      <c r="D46" s="677">
        <f>MCF!R45</f>
        <v>0.8</v>
      </c>
      <c r="E46" s="662">
        <f t="shared" si="1"/>
        <v>44.118000000000002</v>
      </c>
      <c r="F46" s="662">
        <f t="shared" si="0"/>
        <v>44.118000000000002</v>
      </c>
      <c r="G46" s="662">
        <f t="shared" si="2"/>
        <v>0</v>
      </c>
      <c r="H46" s="662">
        <f t="shared" si="3"/>
        <v>715.87265453122041</v>
      </c>
      <c r="I46" s="662">
        <f t="shared" si="4"/>
        <v>20.45797493485405</v>
      </c>
      <c r="J46" s="663">
        <f t="shared" si="5"/>
        <v>15.002514952226303</v>
      </c>
    </row>
    <row r="47" spans="2:10" x14ac:dyDescent="0.25">
      <c r="B47" s="675">
        <f>Amnt_Deposited!B39</f>
        <v>1978</v>
      </c>
      <c r="C47" s="676">
        <f>IF(Select2=1,Amnt_Deposited!F39,(Amnt_Deposited!F39+Amnt_Deposited!L39*Parameters!$E$47))</f>
        <v>256.5</v>
      </c>
      <c r="D47" s="677">
        <f>MCF!R46</f>
        <v>0.8</v>
      </c>
      <c r="E47" s="662">
        <f t="shared" si="1"/>
        <v>44.118000000000002</v>
      </c>
      <c r="F47" s="662">
        <f t="shared" si="0"/>
        <v>44.118000000000002</v>
      </c>
      <c r="G47" s="662">
        <f t="shared" si="2"/>
        <v>0</v>
      </c>
      <c r="H47" s="662">
        <f t="shared" si="3"/>
        <v>738.83342017933705</v>
      </c>
      <c r="I47" s="662">
        <f t="shared" si="4"/>
        <v>21.157234351883364</v>
      </c>
      <c r="J47" s="663">
        <f t="shared" si="5"/>
        <v>15.515305191381135</v>
      </c>
    </row>
    <row r="48" spans="2:10" x14ac:dyDescent="0.25">
      <c r="B48" s="675">
        <f>Amnt_Deposited!B40</f>
        <v>1979</v>
      </c>
      <c r="C48" s="676">
        <f>IF(Select2=1,Amnt_Deposited!F40,(Amnt_Deposited!F40+Amnt_Deposited!L40*Parameters!$E$47))</f>
        <v>256.5</v>
      </c>
      <c r="D48" s="677">
        <f>MCF!R47</f>
        <v>0.8</v>
      </c>
      <c r="E48" s="662">
        <f t="shared" si="1"/>
        <v>44.118000000000002</v>
      </c>
      <c r="F48" s="662">
        <f t="shared" si="0"/>
        <v>44.118000000000002</v>
      </c>
      <c r="G48" s="662">
        <f t="shared" si="2"/>
        <v>0</v>
      </c>
      <c r="H48" s="662">
        <f t="shared" si="3"/>
        <v>761.11559264940593</v>
      </c>
      <c r="I48" s="662">
        <f t="shared" si="4"/>
        <v>21.835827529931194</v>
      </c>
      <c r="J48" s="663">
        <f t="shared" si="5"/>
        <v>16.012940188616209</v>
      </c>
    </row>
    <row r="49" spans="2:10" x14ac:dyDescent="0.25">
      <c r="B49" s="675">
        <f>Amnt_Deposited!B41</f>
        <v>1980</v>
      </c>
      <c r="C49" s="676">
        <f>IF(Select2=1,Amnt_Deposited!F41,(Amnt_Deposited!F41+Amnt_Deposited!L41*Parameters!$E$47))</f>
        <v>256.5</v>
      </c>
      <c r="D49" s="677">
        <f>MCF!R48</f>
        <v>0.9</v>
      </c>
      <c r="E49" s="662">
        <f t="shared" si="1"/>
        <v>49.632750000000001</v>
      </c>
      <c r="F49" s="662">
        <f t="shared" si="0"/>
        <v>49.632750000000001</v>
      </c>
      <c r="G49" s="662">
        <f t="shared" si="2"/>
        <v>0</v>
      </c>
      <c r="H49" s="662">
        <f t="shared" si="3"/>
        <v>788.25397740074175</v>
      </c>
      <c r="I49" s="662">
        <f t="shared" si="4"/>
        <v>22.494365248664202</v>
      </c>
      <c r="J49" s="663">
        <f t="shared" si="5"/>
        <v>16.495867849020414</v>
      </c>
    </row>
    <row r="50" spans="2:10" x14ac:dyDescent="0.25">
      <c r="B50" s="675">
        <f>Amnt_Deposited!B42</f>
        <v>1981</v>
      </c>
      <c r="C50" s="676">
        <f>IF(Select2=1,Amnt_Deposited!F42,(Amnt_Deposited!F42+Amnt_Deposited!L42*Parameters!$E$47))</f>
        <v>256.5</v>
      </c>
      <c r="D50" s="677">
        <f>MCF!R49</f>
        <v>0.9</v>
      </c>
      <c r="E50" s="662">
        <f t="shared" si="1"/>
        <v>49.632750000000001</v>
      </c>
      <c r="F50" s="662">
        <f t="shared" si="0"/>
        <v>49.632750000000001</v>
      </c>
      <c r="G50" s="662">
        <f t="shared" si="2"/>
        <v>0</v>
      </c>
      <c r="H50" s="662">
        <f t="shared" si="3"/>
        <v>814.59030167039646</v>
      </c>
      <c r="I50" s="662">
        <f t="shared" si="4"/>
        <v>23.296425730345234</v>
      </c>
      <c r="J50" s="663">
        <f t="shared" si="5"/>
        <v>17.084045535586505</v>
      </c>
    </row>
    <row r="51" spans="2:10" x14ac:dyDescent="0.25">
      <c r="B51" s="675">
        <f>Amnt_Deposited!B43</f>
        <v>1982</v>
      </c>
      <c r="C51" s="676">
        <f>IF(Select2=1,Amnt_Deposited!F43,(Amnt_Deposited!F43+Amnt_Deposited!L43*Parameters!$E$47))</f>
        <v>256.5</v>
      </c>
      <c r="D51" s="677">
        <f>MCF!R50</f>
        <v>0.9</v>
      </c>
      <c r="E51" s="662">
        <f t="shared" si="1"/>
        <v>49.632750000000001</v>
      </c>
      <c r="F51" s="662">
        <f t="shared" si="0"/>
        <v>49.632750000000001</v>
      </c>
      <c r="G51" s="662">
        <f t="shared" si="2"/>
        <v>0</v>
      </c>
      <c r="H51" s="662">
        <f t="shared" si="3"/>
        <v>840.14826992796804</v>
      </c>
      <c r="I51" s="662">
        <f t="shared" si="4"/>
        <v>24.074781742428353</v>
      </c>
      <c r="J51" s="663">
        <f t="shared" si="5"/>
        <v>17.65483994444746</v>
      </c>
    </row>
    <row r="52" spans="2:10" x14ac:dyDescent="0.25">
      <c r="B52" s="675">
        <f>Amnt_Deposited!B44</f>
        <v>1983</v>
      </c>
      <c r="C52" s="676">
        <f>IF(Select2=1,Amnt_Deposited!F44,(Amnt_Deposited!F44+Amnt_Deposited!L44*Parameters!$E$47))</f>
        <v>256.5</v>
      </c>
      <c r="D52" s="677">
        <f>MCF!R51</f>
        <v>0.9</v>
      </c>
      <c r="E52" s="662">
        <f t="shared" si="1"/>
        <v>49.632750000000001</v>
      </c>
      <c r="F52" s="662">
        <f t="shared" si="0"/>
        <v>49.632750000000001</v>
      </c>
      <c r="G52" s="662">
        <f t="shared" si="2"/>
        <v>0</v>
      </c>
      <c r="H52" s="662">
        <f t="shared" si="3"/>
        <v>864.95088607010302</v>
      </c>
      <c r="I52" s="662">
        <f t="shared" si="4"/>
        <v>24.830133857865047</v>
      </c>
      <c r="J52" s="663">
        <f t="shared" si="5"/>
        <v>18.208764829101035</v>
      </c>
    </row>
    <row r="53" spans="2:10" x14ac:dyDescent="0.25">
      <c r="B53" s="675">
        <f>Amnt_Deposited!B45</f>
        <v>1984</v>
      </c>
      <c r="C53" s="676">
        <f>IF(Select2=1,Amnt_Deposited!F45,(Amnt_Deposited!F45+Amnt_Deposited!L45*Parameters!$E$47))</f>
        <v>256.5</v>
      </c>
      <c r="D53" s="677">
        <f>MCF!R52</f>
        <v>0.9</v>
      </c>
      <c r="E53" s="662">
        <f t="shared" si="1"/>
        <v>49.632750000000001</v>
      </c>
      <c r="F53" s="662">
        <f t="shared" si="0"/>
        <v>49.632750000000001</v>
      </c>
      <c r="G53" s="662">
        <f t="shared" si="2"/>
        <v>0</v>
      </c>
      <c r="H53" s="662">
        <f t="shared" si="3"/>
        <v>889.02047412555601</v>
      </c>
      <c r="I53" s="662">
        <f t="shared" si="4"/>
        <v>25.563161944547005</v>
      </c>
      <c r="J53" s="663">
        <f t="shared" si="5"/>
        <v>18.746318759334471</v>
      </c>
    </row>
    <row r="54" spans="2:10" x14ac:dyDescent="0.25">
      <c r="B54" s="675">
        <f>Amnt_Deposited!B46</f>
        <v>1985</v>
      </c>
      <c r="C54" s="676">
        <f>IF(Select2=1,Amnt_Deposited!F46,(Amnt_Deposited!F46+Amnt_Deposited!L46*Parameters!$E$47))</f>
        <v>256.5</v>
      </c>
      <c r="D54" s="677">
        <f>MCF!R53</f>
        <v>0.9</v>
      </c>
      <c r="E54" s="662">
        <f t="shared" si="1"/>
        <v>49.632750000000001</v>
      </c>
      <c r="F54" s="662">
        <f t="shared" si="0"/>
        <v>49.632750000000001</v>
      </c>
      <c r="G54" s="662">
        <f t="shared" si="2"/>
        <v>0</v>
      </c>
      <c r="H54" s="662">
        <f t="shared" si="3"/>
        <v>912.37869834832293</v>
      </c>
      <c r="I54" s="662">
        <f t="shared" si="4"/>
        <v>26.274525777233119</v>
      </c>
      <c r="J54" s="663">
        <f t="shared" si="5"/>
        <v>19.267985569970953</v>
      </c>
    </row>
    <row r="55" spans="2:10" x14ac:dyDescent="0.25">
      <c r="B55" s="675">
        <f>Amnt_Deposited!B47</f>
        <v>1986</v>
      </c>
      <c r="C55" s="676">
        <f>IF(Select2=1,Amnt_Deposited!F47,(Amnt_Deposited!F47+Amnt_Deposited!L47*Parameters!$E$47))</f>
        <v>256.5</v>
      </c>
      <c r="D55" s="677">
        <f>MCF!R54</f>
        <v>0.9</v>
      </c>
      <c r="E55" s="662">
        <f t="shared" si="1"/>
        <v>49.632750000000001</v>
      </c>
      <c r="F55" s="662">
        <f t="shared" si="0"/>
        <v>49.632750000000001</v>
      </c>
      <c r="G55" s="662">
        <f t="shared" si="2"/>
        <v>0</v>
      </c>
      <c r="H55" s="662">
        <f t="shared" si="3"/>
        <v>935.04658271693165</v>
      </c>
      <c r="I55" s="662">
        <f t="shared" si="4"/>
        <v>26.964865631391309</v>
      </c>
      <c r="J55" s="663">
        <f t="shared" si="5"/>
        <v>19.774234796353625</v>
      </c>
    </row>
    <row r="56" spans="2:10" x14ac:dyDescent="0.25">
      <c r="B56" s="675">
        <f>Amnt_Deposited!B48</f>
        <v>1987</v>
      </c>
      <c r="C56" s="676">
        <f>IF(Select2=1,Amnt_Deposited!F48,(Amnt_Deposited!F48+Amnt_Deposited!L48*Parameters!$E$47))</f>
        <v>256.5</v>
      </c>
      <c r="D56" s="677">
        <f>MCF!R55</f>
        <v>0.9</v>
      </c>
      <c r="E56" s="662">
        <f t="shared" si="1"/>
        <v>49.632750000000001</v>
      </c>
      <c r="F56" s="662">
        <f t="shared" si="0"/>
        <v>49.632750000000001</v>
      </c>
      <c r="G56" s="662">
        <f t="shared" si="2"/>
        <v>0</v>
      </c>
      <c r="H56" s="662">
        <f t="shared" si="3"/>
        <v>957.04452985744194</v>
      </c>
      <c r="I56" s="662">
        <f t="shared" si="4"/>
        <v>27.63480285948965</v>
      </c>
      <c r="J56" s="663">
        <f t="shared" si="5"/>
        <v>20.265522096959078</v>
      </c>
    </row>
    <row r="57" spans="2:10" x14ac:dyDescent="0.25">
      <c r="B57" s="675">
        <f>Amnt_Deposited!B49</f>
        <v>1988</v>
      </c>
      <c r="C57" s="676">
        <f>IF(Select2=1,Amnt_Deposited!F49,(Amnt_Deposited!F49+Amnt_Deposited!L49*Parameters!$E$47))</f>
        <v>256.5</v>
      </c>
      <c r="D57" s="677">
        <f>MCF!R56</f>
        <v>0.9</v>
      </c>
      <c r="E57" s="662">
        <f t="shared" si="1"/>
        <v>49.632750000000001</v>
      </c>
      <c r="F57" s="662">
        <f t="shared" si="0"/>
        <v>49.632750000000001</v>
      </c>
      <c r="G57" s="662">
        <f t="shared" si="2"/>
        <v>0</v>
      </c>
      <c r="H57" s="662">
        <f t="shared" si="3"/>
        <v>978.39233940718634</v>
      </c>
      <c r="I57" s="662">
        <f t="shared" si="4"/>
        <v>28.284940450255554</v>
      </c>
      <c r="J57" s="663">
        <f t="shared" si="5"/>
        <v>20.74228966352074</v>
      </c>
    </row>
    <row r="58" spans="2:10" x14ac:dyDescent="0.25">
      <c r="B58" s="675">
        <f>Amnt_Deposited!B50</f>
        <v>1989</v>
      </c>
      <c r="C58" s="676">
        <f>IF(Select2=1,Amnt_Deposited!F50,(Amnt_Deposited!F50+Amnt_Deposited!L50*Parameters!$E$47))</f>
        <v>256.5</v>
      </c>
      <c r="D58" s="677">
        <f>MCF!R57</f>
        <v>0.9</v>
      </c>
      <c r="E58" s="662">
        <f t="shared" si="1"/>
        <v>49.632750000000001</v>
      </c>
      <c r="F58" s="662">
        <f t="shared" si="0"/>
        <v>49.632750000000001</v>
      </c>
      <c r="G58" s="662">
        <f t="shared" si="2"/>
        <v>0</v>
      </c>
      <c r="H58" s="662">
        <f t="shared" si="3"/>
        <v>999.10922583577997</v>
      </c>
      <c r="I58" s="662">
        <f t="shared" si="4"/>
        <v>28.915863571406312</v>
      </c>
      <c r="J58" s="663">
        <f t="shared" si="5"/>
        <v>21.204966619031296</v>
      </c>
    </row>
    <row r="59" spans="2:10" x14ac:dyDescent="0.25">
      <c r="B59" s="675">
        <f>Amnt_Deposited!B51</f>
        <v>1990</v>
      </c>
      <c r="C59" s="676">
        <f>IF(Select2=1,Amnt_Deposited!F51,(Amnt_Deposited!F51+Amnt_Deposited!L51*Parameters!$E$47))</f>
        <v>256.5</v>
      </c>
      <c r="D59" s="677">
        <f>MCF!R58</f>
        <v>1</v>
      </c>
      <c r="E59" s="662">
        <f t="shared" si="1"/>
        <v>55.147500000000001</v>
      </c>
      <c r="F59" s="662">
        <f t="shared" si="0"/>
        <v>55.147500000000001</v>
      </c>
      <c r="G59" s="662">
        <f t="shared" si="2"/>
        <v>0</v>
      </c>
      <c r="H59" s="662">
        <f t="shared" si="3"/>
        <v>1024.7285857394404</v>
      </c>
      <c r="I59" s="662">
        <f t="shared" si="4"/>
        <v>29.528140096339548</v>
      </c>
      <c r="J59" s="663">
        <f t="shared" si="5"/>
        <v>21.653969403982334</v>
      </c>
    </row>
    <row r="60" spans="2:10" x14ac:dyDescent="0.25">
      <c r="B60" s="675">
        <f>Amnt_Deposited!B52</f>
        <v>1991</v>
      </c>
      <c r="C60" s="676">
        <f>IF(Select2=1,Amnt_Deposited!F52,(Amnt_Deposited!F52+Amnt_Deposited!L52*Parameters!$E$47))</f>
        <v>160.04249999999999</v>
      </c>
      <c r="D60" s="677">
        <f>MCF!R59</f>
        <v>1</v>
      </c>
      <c r="E60" s="662">
        <f t="shared" si="1"/>
        <v>34.4091375</v>
      </c>
      <c r="F60" s="662">
        <f t="shared" si="0"/>
        <v>34.4091375</v>
      </c>
      <c r="G60" s="662">
        <f t="shared" si="2"/>
        <v>0</v>
      </c>
      <c r="H60" s="662">
        <f t="shared" si="3"/>
        <v>1028.8524166303193</v>
      </c>
      <c r="I60" s="662">
        <f t="shared" si="4"/>
        <v>30.285306609120976</v>
      </c>
      <c r="J60" s="663">
        <f t="shared" si="5"/>
        <v>22.209224846688716</v>
      </c>
    </row>
    <row r="61" spans="2:10" x14ac:dyDescent="0.25">
      <c r="B61" s="675">
        <f>Amnt_Deposited!B53</f>
        <v>1992</v>
      </c>
      <c r="C61" s="676">
        <f>IF(Select2=1,Amnt_Deposited!F53,(Amnt_Deposited!F53+Amnt_Deposited!L53*Parameters!$E$47))</f>
        <v>161.19000000000003</v>
      </c>
      <c r="D61" s="677">
        <f>MCF!R60</f>
        <v>1</v>
      </c>
      <c r="E61" s="662">
        <f t="shared" si="1"/>
        <v>34.655850000000008</v>
      </c>
      <c r="F61" s="662">
        <f t="shared" si="0"/>
        <v>34.655850000000008</v>
      </c>
      <c r="G61" s="662">
        <f t="shared" si="2"/>
        <v>0</v>
      </c>
      <c r="H61" s="662">
        <f t="shared" si="3"/>
        <v>1033.1010823994823</v>
      </c>
      <c r="I61" s="662">
        <f t="shared" si="4"/>
        <v>30.407184230837085</v>
      </c>
      <c r="J61" s="663">
        <f t="shared" si="5"/>
        <v>22.298601769280531</v>
      </c>
    </row>
    <row r="62" spans="2:10" x14ac:dyDescent="0.25">
      <c r="B62" s="675">
        <f>Amnt_Deposited!B54</f>
        <v>1993</v>
      </c>
      <c r="C62" s="676">
        <f>IF(Select2=1,Amnt_Deposited!F54,(Amnt_Deposited!F54+Amnt_Deposited!L54*Parameters!$E$47))</f>
        <v>167.67</v>
      </c>
      <c r="D62" s="677">
        <f>MCF!R61</f>
        <v>1</v>
      </c>
      <c r="E62" s="662">
        <f t="shared" si="1"/>
        <v>36.049049999999994</v>
      </c>
      <c r="F62" s="662">
        <f t="shared" si="0"/>
        <v>36.049049999999994</v>
      </c>
      <c r="G62" s="662">
        <f t="shared" si="2"/>
        <v>0</v>
      </c>
      <c r="H62" s="662">
        <f t="shared" si="3"/>
        <v>1038.6173811187068</v>
      </c>
      <c r="I62" s="662">
        <f t="shared" si="4"/>
        <v>30.532751280775411</v>
      </c>
      <c r="J62" s="663">
        <f t="shared" si="5"/>
        <v>22.390684272568635</v>
      </c>
    </row>
    <row r="63" spans="2:10" x14ac:dyDescent="0.25">
      <c r="B63" s="675">
        <f>Amnt_Deposited!B55</f>
        <v>1994</v>
      </c>
      <c r="C63" s="676">
        <f>IF(Select2=1,Amnt_Deposited!F55,(Amnt_Deposited!F55+Amnt_Deposited!L55*Parameters!$E$47))</f>
        <v>171.6525</v>
      </c>
      <c r="D63" s="677">
        <f>MCF!R62</f>
        <v>1</v>
      </c>
      <c r="E63" s="662">
        <f t="shared" si="1"/>
        <v>36.9052875</v>
      </c>
      <c r="F63" s="662">
        <f t="shared" si="0"/>
        <v>36.9052875</v>
      </c>
      <c r="G63" s="662">
        <f t="shared" si="2"/>
        <v>0</v>
      </c>
      <c r="H63" s="662">
        <f t="shared" si="3"/>
        <v>1044.8268860724977</v>
      </c>
      <c r="I63" s="662">
        <f t="shared" si="4"/>
        <v>30.695782546209141</v>
      </c>
      <c r="J63" s="663">
        <f t="shared" si="5"/>
        <v>22.510240533886705</v>
      </c>
    </row>
    <row r="64" spans="2:10" x14ac:dyDescent="0.25">
      <c r="B64" s="675">
        <f>Amnt_Deposited!B56</f>
        <v>1995</v>
      </c>
      <c r="C64" s="676">
        <f>IF(Select2=1,Amnt_Deposited!F56,(Amnt_Deposited!F56+Amnt_Deposited!L56*Parameters!$E$47))</f>
        <v>172.86750000000001</v>
      </c>
      <c r="D64" s="677">
        <f>MCF!R63</f>
        <v>1</v>
      </c>
      <c r="E64" s="662">
        <f t="shared" si="1"/>
        <v>37.166512500000003</v>
      </c>
      <c r="F64" s="662">
        <f t="shared" si="0"/>
        <v>37.166512500000003</v>
      </c>
      <c r="G64" s="662">
        <f t="shared" si="2"/>
        <v>0</v>
      </c>
      <c r="H64" s="662">
        <f t="shared" si="3"/>
        <v>1051.1140974204513</v>
      </c>
      <c r="I64" s="662">
        <f t="shared" si="4"/>
        <v>30.879301152046327</v>
      </c>
      <c r="J64" s="663">
        <f t="shared" si="5"/>
        <v>22.644820844833976</v>
      </c>
    </row>
    <row r="65" spans="2:10" x14ac:dyDescent="0.25">
      <c r="B65" s="675">
        <f>Amnt_Deposited!B57</f>
        <v>1996</v>
      </c>
      <c r="C65" s="676">
        <f>IF(Select2=1,Amnt_Deposited!F57,(Amnt_Deposited!F57+Amnt_Deposited!L57*Parameters!$E$47))</f>
        <v>176.91749999999999</v>
      </c>
      <c r="D65" s="677">
        <f>MCF!R64</f>
        <v>1</v>
      </c>
      <c r="E65" s="662">
        <f t="shared" si="1"/>
        <v>38.037262499999997</v>
      </c>
      <c r="F65" s="662">
        <f t="shared" si="0"/>
        <v>38.037262499999997</v>
      </c>
      <c r="G65" s="662">
        <f t="shared" si="2"/>
        <v>0</v>
      </c>
      <c r="H65" s="662">
        <f t="shared" si="3"/>
        <v>1058.0862435915485</v>
      </c>
      <c r="I65" s="662">
        <f t="shared" si="4"/>
        <v>31.06511632890286</v>
      </c>
      <c r="J65" s="663">
        <f t="shared" si="5"/>
        <v>22.781085307862099</v>
      </c>
    </row>
    <row r="66" spans="2:10" x14ac:dyDescent="0.25">
      <c r="B66" s="675">
        <f>Amnt_Deposited!B58</f>
        <v>1997</v>
      </c>
      <c r="C66" s="676">
        <f>IF(Select2=1,Amnt_Deposited!F58,(Amnt_Deposited!F58+Amnt_Deposited!L58*Parameters!$E$47))</f>
        <v>181.10250000000002</v>
      </c>
      <c r="D66" s="677">
        <f>MCF!R65</f>
        <v>1</v>
      </c>
      <c r="E66" s="662">
        <f t="shared" si="1"/>
        <v>38.937037500000002</v>
      </c>
      <c r="F66" s="662">
        <f t="shared" si="0"/>
        <v>38.937037500000002</v>
      </c>
      <c r="G66" s="662">
        <f t="shared" si="2"/>
        <v>0</v>
      </c>
      <c r="H66" s="662">
        <f t="shared" si="3"/>
        <v>1065.752106702537</v>
      </c>
      <c r="I66" s="662">
        <f t="shared" si="4"/>
        <v>31.271174389011449</v>
      </c>
      <c r="J66" s="663">
        <f t="shared" si="5"/>
        <v>22.932194551941727</v>
      </c>
    </row>
    <row r="67" spans="2:10" x14ac:dyDescent="0.25">
      <c r="B67" s="675">
        <f>Amnt_Deposited!B59</f>
        <v>1998</v>
      </c>
      <c r="C67" s="676">
        <f>IF(Select2=1,Amnt_Deposited!F59,(Amnt_Deposited!F59+Amnt_Deposited!L59*Parameters!$E$47))</f>
        <v>184.88249999999999</v>
      </c>
      <c r="D67" s="677">
        <f>MCF!R66</f>
        <v>1</v>
      </c>
      <c r="E67" s="662">
        <f t="shared" si="1"/>
        <v>39.749737499999995</v>
      </c>
      <c r="F67" s="662">
        <f t="shared" si="0"/>
        <v>39.749737499999995</v>
      </c>
      <c r="G67" s="662">
        <f t="shared" si="2"/>
        <v>0</v>
      </c>
      <c r="H67" s="662">
        <f t="shared" si="3"/>
        <v>1074.0041093193902</v>
      </c>
      <c r="I67" s="662">
        <f t="shared" si="4"/>
        <v>31.49773488314689</v>
      </c>
      <c r="J67" s="663">
        <f t="shared" si="5"/>
        <v>23.098338914307721</v>
      </c>
    </row>
    <row r="68" spans="2:10" x14ac:dyDescent="0.25">
      <c r="B68" s="675">
        <f>Amnt_Deposited!B60</f>
        <v>1999</v>
      </c>
      <c r="C68" s="676">
        <f>IF(Select2=1,Amnt_Deposited!F60,(Amnt_Deposited!F60+Amnt_Deposited!L60*Parameters!$E$47))</f>
        <v>189.26999999999998</v>
      </c>
      <c r="D68" s="677">
        <f>MCF!R67</f>
        <v>1</v>
      </c>
      <c r="E68" s="662">
        <f t="shared" si="1"/>
        <v>40.693049999999992</v>
      </c>
      <c r="F68" s="662">
        <f t="shared" si="0"/>
        <v>40.693049999999992</v>
      </c>
      <c r="G68" s="662">
        <f t="shared" si="2"/>
        <v>0</v>
      </c>
      <c r="H68" s="662">
        <f t="shared" si="3"/>
        <v>1082.955540901746</v>
      </c>
      <c r="I68" s="662">
        <f t="shared" si="4"/>
        <v>31.741618417644297</v>
      </c>
      <c r="J68" s="663">
        <f t="shared" si="5"/>
        <v>23.277186839605818</v>
      </c>
    </row>
    <row r="69" spans="2:10" x14ac:dyDescent="0.25">
      <c r="B69" s="675">
        <f>Amnt_Deposited!B61</f>
        <v>2000</v>
      </c>
      <c r="C69" s="676">
        <f>IF(Select2=1,Amnt_Deposited!F61,(Amnt_Deposited!F61+Amnt_Deposited!L61*Parameters!$E$47))</f>
        <v>177.66</v>
      </c>
      <c r="D69" s="677">
        <f>MCF!R68</f>
        <v>1</v>
      </c>
      <c r="E69" s="662">
        <f t="shared" si="1"/>
        <v>38.196899999999999</v>
      </c>
      <c r="F69" s="662">
        <f t="shared" si="0"/>
        <v>38.196899999999999</v>
      </c>
      <c r="G69" s="662">
        <f t="shared" si="2"/>
        <v>0</v>
      </c>
      <c r="H69" s="662">
        <f t="shared" si="3"/>
        <v>1089.146267699708</v>
      </c>
      <c r="I69" s="662">
        <f t="shared" si="4"/>
        <v>32.006173202037857</v>
      </c>
      <c r="J69" s="663">
        <f t="shared" si="5"/>
        <v>23.47119368149443</v>
      </c>
    </row>
    <row r="70" spans="2:10" x14ac:dyDescent="0.25">
      <c r="B70" s="675">
        <f>Amnt_Deposited!B62</f>
        <v>2001</v>
      </c>
      <c r="C70" s="676">
        <f>IF(Select2=1,Amnt_Deposited!F62,(Amnt_Deposited!F62+Amnt_Deposited!L62*Parameters!$E$47))</f>
        <v>189.20250000000001</v>
      </c>
      <c r="D70" s="677">
        <f>MCF!R69</f>
        <v>1</v>
      </c>
      <c r="E70" s="662">
        <f t="shared" si="1"/>
        <v>40.678537500000004</v>
      </c>
      <c r="F70" s="662">
        <f t="shared" si="0"/>
        <v>40.678537500000004</v>
      </c>
      <c r="G70" s="662">
        <f t="shared" si="2"/>
        <v>0</v>
      </c>
      <c r="H70" s="662">
        <f t="shared" si="3"/>
        <v>1097.6356683702095</v>
      </c>
      <c r="I70" s="662">
        <f t="shared" si="4"/>
        <v>32.18913682949858</v>
      </c>
      <c r="J70" s="663">
        <f t="shared" si="5"/>
        <v>23.605367008298959</v>
      </c>
    </row>
    <row r="71" spans="2:10" x14ac:dyDescent="0.25">
      <c r="B71" s="675">
        <f>Amnt_Deposited!B63</f>
        <v>2002</v>
      </c>
      <c r="C71" s="676">
        <f>IF(Select2=1,Amnt_Deposited!F63,(Amnt_Deposited!F63+Amnt_Deposited!L63*Parameters!$E$47))</f>
        <v>228.90600000000001</v>
      </c>
      <c r="D71" s="677">
        <f>MCF!R70</f>
        <v>1</v>
      </c>
      <c r="E71" s="662">
        <f t="shared" si="1"/>
        <v>49.214790000000001</v>
      </c>
      <c r="F71" s="662">
        <f t="shared" si="0"/>
        <v>49.214790000000001</v>
      </c>
      <c r="G71" s="662">
        <f t="shared" si="2"/>
        <v>0</v>
      </c>
      <c r="H71" s="662">
        <f t="shared" si="3"/>
        <v>1114.4104218334012</v>
      </c>
      <c r="I71" s="662">
        <f t="shared" si="4"/>
        <v>32.440036536808186</v>
      </c>
      <c r="J71" s="663">
        <f t="shared" si="5"/>
        <v>23.789360126992669</v>
      </c>
    </row>
    <row r="72" spans="2:10" x14ac:dyDescent="0.25">
      <c r="B72" s="675">
        <f>Amnt_Deposited!B64</f>
        <v>2003</v>
      </c>
      <c r="C72" s="676">
        <f>IF(Select2=1,Amnt_Deposited!F64,(Amnt_Deposited!F64+Amnt_Deposited!L64*Parameters!$E$47))</f>
        <v>289.08</v>
      </c>
      <c r="D72" s="677">
        <f>MCF!R71</f>
        <v>1</v>
      </c>
      <c r="E72" s="662">
        <f t="shared" si="1"/>
        <v>62.152199999999993</v>
      </c>
      <c r="F72" s="662">
        <f t="shared" si="0"/>
        <v>62.152199999999993</v>
      </c>
      <c r="G72" s="662">
        <f t="shared" si="2"/>
        <v>0</v>
      </c>
      <c r="H72" s="662">
        <f t="shared" si="3"/>
        <v>1143.626816408133</v>
      </c>
      <c r="I72" s="662">
        <f t="shared" si="4"/>
        <v>32.935805425268128</v>
      </c>
      <c r="J72" s="663">
        <f t="shared" si="5"/>
        <v>24.152923978529962</v>
      </c>
    </row>
    <row r="73" spans="2:10" x14ac:dyDescent="0.25">
      <c r="B73" s="675">
        <f>Amnt_Deposited!B65</f>
        <v>2004</v>
      </c>
      <c r="C73" s="676">
        <f>IF(Select2=1,Amnt_Deposited!F65,(Amnt_Deposited!F65+Amnt_Deposited!L65*Parameters!$E$47))</f>
        <v>345.38400000000001</v>
      </c>
      <c r="D73" s="677">
        <f>MCF!R72</f>
        <v>1</v>
      </c>
      <c r="E73" s="662">
        <f t="shared" si="1"/>
        <v>74.257559999999998</v>
      </c>
      <c r="F73" s="662">
        <f t="shared" si="0"/>
        <v>74.257559999999998</v>
      </c>
      <c r="G73" s="662">
        <f t="shared" si="2"/>
        <v>0</v>
      </c>
      <c r="H73" s="662">
        <f t="shared" si="3"/>
        <v>1184.0850960295725</v>
      </c>
      <c r="I73" s="662">
        <f t="shared" si="4"/>
        <v>33.799280378560589</v>
      </c>
      <c r="J73" s="663">
        <f t="shared" si="5"/>
        <v>24.786138944277766</v>
      </c>
    </row>
    <row r="74" spans="2:10" x14ac:dyDescent="0.25">
      <c r="B74" s="675">
        <f>Amnt_Deposited!B66</f>
        <v>2005</v>
      </c>
      <c r="C74" s="676">
        <f>IF(Select2=1,Amnt_Deposited!F66,(Amnt_Deposited!F66+Amnt_Deposited!L66*Parameters!$E$47))</f>
        <v>378.00000000000006</v>
      </c>
      <c r="D74" s="677">
        <f>MCF!R73</f>
        <v>1</v>
      </c>
      <c r="E74" s="662">
        <f t="shared" si="1"/>
        <v>81.27000000000001</v>
      </c>
      <c r="F74" s="662">
        <f t="shared" si="0"/>
        <v>81.27000000000001</v>
      </c>
      <c r="G74" s="662">
        <f t="shared" si="2"/>
        <v>0</v>
      </c>
      <c r="H74" s="662">
        <f t="shared" si="3"/>
        <v>1230.3600927832549</v>
      </c>
      <c r="I74" s="662">
        <f t="shared" si="4"/>
        <v>34.995003246317502</v>
      </c>
      <c r="J74" s="663">
        <f t="shared" si="5"/>
        <v>25.663002380632836</v>
      </c>
    </row>
    <row r="75" spans="2:10" x14ac:dyDescent="0.25">
      <c r="B75" s="675">
        <f>Amnt_Deposited!B67</f>
        <v>2006</v>
      </c>
      <c r="C75" s="676">
        <f>IF(Select2=1,Amnt_Deposited!F67,(Amnt_Deposited!F67+Amnt_Deposited!L67*Parameters!$E$47))</f>
        <v>386.82000000000005</v>
      </c>
      <c r="D75" s="677">
        <f>MCF!R74</f>
        <v>1</v>
      </c>
      <c r="E75" s="662">
        <f t="shared" si="1"/>
        <v>83.166300000000007</v>
      </c>
      <c r="F75" s="662">
        <f t="shared" si="0"/>
        <v>83.166300000000007</v>
      </c>
      <c r="G75" s="662">
        <f t="shared" si="2"/>
        <v>0</v>
      </c>
      <c r="H75" s="662">
        <f t="shared" si="3"/>
        <v>1277.1637566978379</v>
      </c>
      <c r="I75" s="662">
        <f t="shared" si="4"/>
        <v>36.362636085417101</v>
      </c>
      <c r="J75" s="663">
        <f t="shared" si="5"/>
        <v>26.665933129305873</v>
      </c>
    </row>
    <row r="76" spans="2:10" x14ac:dyDescent="0.25">
      <c r="B76" s="675">
        <f>Amnt_Deposited!B68</f>
        <v>2007</v>
      </c>
      <c r="C76" s="676">
        <f>IF(Select2=1,Amnt_Deposited!F68,(Amnt_Deposited!F68+Amnt_Deposited!L68*Parameters!$E$47))</f>
        <v>376.85700000000003</v>
      </c>
      <c r="D76" s="677">
        <f>MCF!R75</f>
        <v>1</v>
      </c>
      <c r="E76" s="662">
        <f t="shared" si="1"/>
        <v>81.024255000000011</v>
      </c>
      <c r="F76" s="662">
        <f t="shared" si="0"/>
        <v>81.024255000000011</v>
      </c>
      <c r="G76" s="662">
        <f t="shared" si="2"/>
        <v>0</v>
      </c>
      <c r="H76" s="662">
        <f t="shared" si="3"/>
        <v>1320.4421182974504</v>
      </c>
      <c r="I76" s="662">
        <f t="shared" si="4"/>
        <v>37.745893400387544</v>
      </c>
      <c r="J76" s="663">
        <f t="shared" si="5"/>
        <v>27.680321826950866</v>
      </c>
    </row>
    <row r="77" spans="2:10" x14ac:dyDescent="0.25">
      <c r="B77" s="675">
        <f>Amnt_Deposited!B69</f>
        <v>2008</v>
      </c>
      <c r="C77" s="676">
        <f>IF(Select2=1,Amnt_Deposited!F69,(Amnt_Deposited!F69+Amnt_Deposited!L69*Parameters!$E$47))</f>
        <v>417.56400000000002</v>
      </c>
      <c r="D77" s="677">
        <f>MCF!R76</f>
        <v>1</v>
      </c>
      <c r="E77" s="662">
        <f t="shared" si="1"/>
        <v>89.776260000000008</v>
      </c>
      <c r="F77" s="662">
        <f t="shared" si="0"/>
        <v>89.776260000000008</v>
      </c>
      <c r="G77" s="662">
        <f t="shared" si="2"/>
        <v>0</v>
      </c>
      <c r="H77" s="662">
        <f t="shared" si="3"/>
        <v>1371.1934160110916</v>
      </c>
      <c r="I77" s="662">
        <f t="shared" si="4"/>
        <v>39.024962286358821</v>
      </c>
      <c r="J77" s="663">
        <f t="shared" si="5"/>
        <v>28.618305676663134</v>
      </c>
    </row>
    <row r="78" spans="2:10" x14ac:dyDescent="0.25">
      <c r="B78" s="675">
        <f>Amnt_Deposited!B70</f>
        <v>2009</v>
      </c>
      <c r="C78" s="676">
        <f>IF(Select2=1,Amnt_Deposited!F70,(Amnt_Deposited!F70+Amnt_Deposited!L70*Parameters!$E$47))</f>
        <v>400.608</v>
      </c>
      <c r="D78" s="677">
        <f>MCF!R77</f>
        <v>1</v>
      </c>
      <c r="E78" s="662">
        <f t="shared" si="1"/>
        <v>86.130719999999997</v>
      </c>
      <c r="F78" s="662">
        <f t="shared" si="0"/>
        <v>86.130719999999997</v>
      </c>
      <c r="G78" s="662">
        <f t="shared" si="2"/>
        <v>0</v>
      </c>
      <c r="H78" s="662">
        <f t="shared" si="3"/>
        <v>1416.7992461990852</v>
      </c>
      <c r="I78" s="662">
        <f t="shared" si="4"/>
        <v>40.524889812006307</v>
      </c>
      <c r="J78" s="663">
        <f t="shared" si="5"/>
        <v>29.718252528804626</v>
      </c>
    </row>
    <row r="79" spans="2:10" x14ac:dyDescent="0.25">
      <c r="B79" s="675">
        <f>Amnt_Deposited!B71</f>
        <v>2010</v>
      </c>
      <c r="C79" s="676">
        <f>IF(Select2=1,Amnt_Deposited!F71,(Amnt_Deposited!F71+Amnt_Deposited!L71*Parameters!$E$47))</f>
        <v>398.50200000000001</v>
      </c>
      <c r="D79" s="677">
        <f>MCF!R78</f>
        <v>1</v>
      </c>
      <c r="E79" s="662">
        <f t="shared" si="1"/>
        <v>85.677930000000003</v>
      </c>
      <c r="F79" s="662">
        <f t="shared" si="0"/>
        <v>85.677930000000003</v>
      </c>
      <c r="G79" s="662">
        <f t="shared" si="2"/>
        <v>0</v>
      </c>
      <c r="H79" s="662">
        <f t="shared" si="3"/>
        <v>1460.6044304087955</v>
      </c>
      <c r="I79" s="662">
        <f t="shared" si="4"/>
        <v>41.872745790289798</v>
      </c>
      <c r="J79" s="663">
        <f t="shared" si="5"/>
        <v>30.706680246212521</v>
      </c>
    </row>
    <row r="80" spans="2:10" x14ac:dyDescent="0.25">
      <c r="B80" s="675">
        <f>Amnt_Deposited!B72</f>
        <v>2011</v>
      </c>
      <c r="C80" s="676">
        <f>IF(Select2=1,Amnt_Deposited!F72,(Amnt_Deposited!F72+Amnt_Deposited!L72*Parameters!$E$47))</f>
        <v>372.64500000000004</v>
      </c>
      <c r="D80" s="677">
        <f>MCF!R79</f>
        <v>1</v>
      </c>
      <c r="E80" s="662">
        <f t="shared" si="1"/>
        <v>80.11867500000001</v>
      </c>
      <c r="F80" s="662">
        <f t="shared" si="0"/>
        <v>80.11867500000001</v>
      </c>
      <c r="G80" s="662">
        <f t="shared" si="2"/>
        <v>0</v>
      </c>
      <c r="H80" s="662">
        <f t="shared" si="3"/>
        <v>1497.5557207713782</v>
      </c>
      <c r="I80" s="662">
        <f t="shared" si="4"/>
        <v>43.167384637417101</v>
      </c>
      <c r="J80" s="663">
        <f t="shared" si="5"/>
        <v>31.656082067439208</v>
      </c>
    </row>
    <row r="81" spans="2:10" x14ac:dyDescent="0.25">
      <c r="B81" s="675">
        <f>Amnt_Deposited!B73</f>
        <v>2012</v>
      </c>
      <c r="C81" s="676">
        <f>IF(Select2=1,Amnt_Deposited!F73,(Amnt_Deposited!F73+Amnt_Deposited!L73*Parameters!$E$47))</f>
        <v>348.77700000000004</v>
      </c>
      <c r="D81" s="677">
        <f>MCF!R80</f>
        <v>1</v>
      </c>
      <c r="E81" s="662">
        <f t="shared" si="1"/>
        <v>74.987055000000012</v>
      </c>
      <c r="F81" s="662">
        <f t="shared" si="0"/>
        <v>74.987055000000012</v>
      </c>
      <c r="G81" s="662">
        <f t="shared" si="2"/>
        <v>0</v>
      </c>
      <c r="H81" s="662">
        <f t="shared" si="3"/>
        <v>1528.283315462601</v>
      </c>
      <c r="I81" s="662">
        <f t="shared" si="4"/>
        <v>44.259460308777385</v>
      </c>
      <c r="J81" s="663">
        <f t="shared" si="5"/>
        <v>32.456937559770083</v>
      </c>
    </row>
    <row r="82" spans="2:10" x14ac:dyDescent="0.25">
      <c r="B82" s="675">
        <f>Amnt_Deposited!B74</f>
        <v>2013</v>
      </c>
      <c r="C82" s="676">
        <f>IF(Select2=1,Amnt_Deposited!F74,(Amnt_Deposited!F74+Amnt_Deposited!L74*Parameters!$E$47))</f>
        <v>325.96200000000005</v>
      </c>
      <c r="D82" s="677">
        <f>MCF!R81</f>
        <v>1</v>
      </c>
      <c r="E82" s="662">
        <f t="shared" si="1"/>
        <v>70.081830000000011</v>
      </c>
      <c r="F82" s="662">
        <f t="shared" si="0"/>
        <v>70.081830000000011</v>
      </c>
      <c r="G82" s="662">
        <f t="shared" si="2"/>
        <v>0</v>
      </c>
      <c r="H82" s="662">
        <f t="shared" si="3"/>
        <v>1553.1975474873868</v>
      </c>
      <c r="I82" s="662">
        <f t="shared" si="4"/>
        <v>45.167597975214171</v>
      </c>
      <c r="J82" s="663">
        <f t="shared" si="5"/>
        <v>33.122905181823725</v>
      </c>
    </row>
    <row r="83" spans="2:10" x14ac:dyDescent="0.25">
      <c r="B83" s="675">
        <f>Amnt_Deposited!B75</f>
        <v>2014</v>
      </c>
      <c r="C83" s="676">
        <f>IF(Select2=1,Amnt_Deposited!F75,(Amnt_Deposited!F75+Amnt_Deposited!L75*Parameters!$E$47))</f>
        <v>314.96400000000006</v>
      </c>
      <c r="D83" s="677">
        <f>MCF!R82</f>
        <v>1</v>
      </c>
      <c r="E83" s="662">
        <f t="shared" si="1"/>
        <v>67.71726000000001</v>
      </c>
      <c r="F83" s="662">
        <f t="shared" ref="F83:F109" si="6">E83*$I$12</f>
        <v>67.71726000000001</v>
      </c>
      <c r="G83" s="662">
        <f t="shared" si="2"/>
        <v>0</v>
      </c>
      <c r="H83" s="662">
        <f t="shared" si="3"/>
        <v>1575.0108826776313</v>
      </c>
      <c r="I83" s="662">
        <f t="shared" si="4"/>
        <v>45.903924809755388</v>
      </c>
      <c r="J83" s="663">
        <f t="shared" si="5"/>
        <v>33.662878193820617</v>
      </c>
    </row>
    <row r="84" spans="2:10" x14ac:dyDescent="0.25">
      <c r="B84" s="675">
        <f>Amnt_Deposited!B76</f>
        <v>2015</v>
      </c>
      <c r="C84" s="676">
        <f>IF(Select2=1,Amnt_Deposited!F76,(Amnt_Deposited!F76+Amnt_Deposited!L76*Parameters!$E$47))</f>
        <v>300.69</v>
      </c>
      <c r="D84" s="677">
        <f>MCF!R83</f>
        <v>1</v>
      </c>
      <c r="E84" s="662">
        <f t="shared" ref="E84:E109" si="7">C84*$I$6*DOCF*D84</f>
        <v>64.648349999999994</v>
      </c>
      <c r="F84" s="662">
        <f t="shared" si="6"/>
        <v>64.648349999999994</v>
      </c>
      <c r="G84" s="662">
        <f t="shared" ref="G84:G109" si="8">E84*(1-$I$12)</f>
        <v>0</v>
      </c>
      <c r="H84" s="662">
        <f t="shared" ref="H84:H109" si="9">F84+H83*$I$10</f>
        <v>1593.1106263848008</v>
      </c>
      <c r="I84" s="662">
        <f t="shared" ref="I84:I109" si="10">H83*(1-$I$10)+G84</f>
        <v>46.548606292830613</v>
      </c>
      <c r="J84" s="663">
        <f t="shared" si="5"/>
        <v>34.135644614742446</v>
      </c>
    </row>
    <row r="85" spans="2:10" x14ac:dyDescent="0.25">
      <c r="B85" s="675">
        <f>Amnt_Deposited!B77</f>
        <v>2016</v>
      </c>
      <c r="C85" s="676">
        <f>IF(Select2=1,Amnt_Deposited!F77,(Amnt_Deposited!F77+Amnt_Deposited!L77*Parameters!$E$47))</f>
        <v>292.38299999999998</v>
      </c>
      <c r="D85" s="677">
        <f>MCF!R84</f>
        <v>1</v>
      </c>
      <c r="E85" s="662">
        <f t="shared" si="7"/>
        <v>62.862344999999998</v>
      </c>
      <c r="F85" s="662">
        <f t="shared" si="6"/>
        <v>62.862344999999998</v>
      </c>
      <c r="G85" s="662">
        <f t="shared" si="8"/>
        <v>0</v>
      </c>
      <c r="H85" s="662">
        <f t="shared" si="9"/>
        <v>1608.8894368237959</v>
      </c>
      <c r="I85" s="662">
        <f t="shared" si="10"/>
        <v>47.083534561004754</v>
      </c>
      <c r="J85" s="663">
        <f t="shared" ref="J85:J109" si="11">I85*CH4_fraction*conv</f>
        <v>34.527925344736822</v>
      </c>
    </row>
    <row r="86" spans="2:10" x14ac:dyDescent="0.25">
      <c r="B86" s="675">
        <f>Amnt_Deposited!B78</f>
        <v>2017</v>
      </c>
      <c r="C86" s="676">
        <f>IF(Select2=1,Amnt_Deposited!F78,(Amnt_Deposited!F78+Amnt_Deposited!L78*Parameters!$E$47))</f>
        <v>292.38299999999998</v>
      </c>
      <c r="D86" s="677">
        <f>MCF!R85</f>
        <v>1</v>
      </c>
      <c r="E86" s="662">
        <f t="shared" ref="E86:E109" si="12">C86*$I$6*DOCF*D86</f>
        <v>62.862344999999998</v>
      </c>
      <c r="F86" s="662">
        <f t="shared" ref="F86:F109" si="13">E86*$I$12</f>
        <v>62.862344999999998</v>
      </c>
      <c r="G86" s="662">
        <f t="shared" ref="G86:G109" si="14">E86*(1-$I$12)</f>
        <v>0</v>
      </c>
      <c r="H86" s="662">
        <f t="shared" ref="H86:H109" si="15">F86+H85*$I$10</f>
        <v>1624.2019129390274</v>
      </c>
      <c r="I86" s="662">
        <f t="shared" ref="I86:I109" si="16">H85*(1-$I$10)+G86</f>
        <v>47.549868884768486</v>
      </c>
      <c r="J86" s="663">
        <f t="shared" ref="J86:J109" si="17">I86*CH4_fraction*conv</f>
        <v>34.869903848830219</v>
      </c>
    </row>
    <row r="87" spans="2:10" x14ac:dyDescent="0.25">
      <c r="B87" s="675">
        <f>Amnt_Deposited!B79</f>
        <v>2018</v>
      </c>
      <c r="C87" s="676">
        <f>IF(Select2=1,Amnt_Deposited!F79,(Amnt_Deposited!F79+Amnt_Deposited!L79*Parameters!$E$47))</f>
        <v>292.38299999999998</v>
      </c>
      <c r="D87" s="677">
        <f>MCF!R86</f>
        <v>1</v>
      </c>
      <c r="E87" s="662">
        <f t="shared" si="12"/>
        <v>62.862344999999998</v>
      </c>
      <c r="F87" s="662">
        <f t="shared" si="13"/>
        <v>62.862344999999998</v>
      </c>
      <c r="G87" s="662">
        <f t="shared" si="14"/>
        <v>0</v>
      </c>
      <c r="H87" s="662">
        <f t="shared" si="15"/>
        <v>1639.0618369926219</v>
      </c>
      <c r="I87" s="662">
        <f t="shared" si="16"/>
        <v>48.002420946405365</v>
      </c>
      <c r="J87" s="663">
        <f t="shared" si="17"/>
        <v>35.201775360697269</v>
      </c>
    </row>
    <row r="88" spans="2:10" x14ac:dyDescent="0.25">
      <c r="B88" s="675">
        <f>Amnt_Deposited!B80</f>
        <v>2019</v>
      </c>
      <c r="C88" s="676">
        <f>IF(Select2=1,Amnt_Deposited!F80,(Amnt_Deposited!F80+Amnt_Deposited!L80*Parameters!$E$47))</f>
        <v>292.38299999999998</v>
      </c>
      <c r="D88" s="677">
        <f>MCF!R87</f>
        <v>1</v>
      </c>
      <c r="E88" s="662">
        <f t="shared" si="12"/>
        <v>62.862344999999998</v>
      </c>
      <c r="F88" s="662">
        <f t="shared" si="13"/>
        <v>62.862344999999998</v>
      </c>
      <c r="G88" s="662">
        <f t="shared" si="14"/>
        <v>0</v>
      </c>
      <c r="H88" s="662">
        <f t="shared" si="15"/>
        <v>1653.4825839193029</v>
      </c>
      <c r="I88" s="662">
        <f t="shared" si="16"/>
        <v>48.441598073319042</v>
      </c>
      <c r="J88" s="663">
        <f t="shared" si="17"/>
        <v>35.523838587100627</v>
      </c>
    </row>
    <row r="89" spans="2:10" x14ac:dyDescent="0.25">
      <c r="B89" s="675">
        <f>Amnt_Deposited!B81</f>
        <v>2020</v>
      </c>
      <c r="C89" s="676">
        <f>IF(Select2=1,Amnt_Deposited!F81,(Amnt_Deposited!F81+Amnt_Deposited!L81*Parameters!$E$47))</f>
        <v>292.38299999999998</v>
      </c>
      <c r="D89" s="677">
        <f>MCF!R88</f>
        <v>1</v>
      </c>
      <c r="E89" s="662">
        <f t="shared" si="12"/>
        <v>62.862344999999998</v>
      </c>
      <c r="F89" s="662">
        <f t="shared" si="13"/>
        <v>62.862344999999998</v>
      </c>
      <c r="G89" s="662">
        <f t="shared" si="14"/>
        <v>0</v>
      </c>
      <c r="H89" s="662">
        <f t="shared" si="15"/>
        <v>1667.4771333647338</v>
      </c>
      <c r="I89" s="662">
        <f t="shared" si="16"/>
        <v>48.867795554569085</v>
      </c>
      <c r="J89" s="663">
        <f t="shared" si="17"/>
        <v>35.836383406683993</v>
      </c>
    </row>
    <row r="90" spans="2:10" x14ac:dyDescent="0.25">
      <c r="B90" s="675">
        <f>Amnt_Deposited!B82</f>
        <v>2021</v>
      </c>
      <c r="C90" s="676">
        <f>IF(Select2=1,Amnt_Deposited!F82,(Amnt_Deposited!F82+Amnt_Deposited!L82*Parameters!$E$47))</f>
        <v>292.38299999999998</v>
      </c>
      <c r="D90" s="677">
        <f>MCF!R89</f>
        <v>1</v>
      </c>
      <c r="E90" s="662">
        <f t="shared" si="12"/>
        <v>62.862344999999998</v>
      </c>
      <c r="F90" s="662">
        <f t="shared" si="13"/>
        <v>62.862344999999998</v>
      </c>
      <c r="G90" s="662">
        <f t="shared" si="14"/>
        <v>0</v>
      </c>
      <c r="H90" s="662">
        <f t="shared" si="15"/>
        <v>1681.058081368076</v>
      </c>
      <c r="I90" s="662">
        <f t="shared" si="16"/>
        <v>49.281396996657818</v>
      </c>
      <c r="J90" s="663">
        <f t="shared" si="17"/>
        <v>36.139691130882397</v>
      </c>
    </row>
    <row r="91" spans="2:10" x14ac:dyDescent="0.25">
      <c r="B91" s="675">
        <f>Amnt_Deposited!B83</f>
        <v>2022</v>
      </c>
      <c r="C91" s="676">
        <f>IF(Select2=1,Amnt_Deposited!F83,(Amnt_Deposited!F83+Amnt_Deposited!L83*Parameters!$E$47))</f>
        <v>292.38299999999998</v>
      </c>
      <c r="D91" s="677">
        <f>MCF!R90</f>
        <v>1</v>
      </c>
      <c r="E91" s="662">
        <f t="shared" si="12"/>
        <v>62.862344999999998</v>
      </c>
      <c r="F91" s="662">
        <f t="shared" si="13"/>
        <v>62.862344999999998</v>
      </c>
      <c r="G91" s="662">
        <f t="shared" si="14"/>
        <v>0</v>
      </c>
      <c r="H91" s="662">
        <f t="shared" si="15"/>
        <v>1694.237651699274</v>
      </c>
      <c r="I91" s="662">
        <f t="shared" si="16"/>
        <v>49.682774668802054</v>
      </c>
      <c r="J91" s="663">
        <f t="shared" si="17"/>
        <v>36.434034757121509</v>
      </c>
    </row>
    <row r="92" spans="2:10" x14ac:dyDescent="0.25">
      <c r="B92" s="675">
        <f>Amnt_Deposited!B84</f>
        <v>2023</v>
      </c>
      <c r="C92" s="676">
        <f>IF(Select2=1,Amnt_Deposited!F84,(Amnt_Deposited!F84+Amnt_Deposited!L84*Parameters!$E$47))</f>
        <v>292.38299999999998</v>
      </c>
      <c r="D92" s="677">
        <f>MCF!R91</f>
        <v>1</v>
      </c>
      <c r="E92" s="662">
        <f t="shared" si="12"/>
        <v>62.862344999999998</v>
      </c>
      <c r="F92" s="662">
        <f t="shared" si="13"/>
        <v>62.862344999999998</v>
      </c>
      <c r="G92" s="662">
        <f t="shared" si="14"/>
        <v>0</v>
      </c>
      <c r="H92" s="662">
        <f t="shared" si="15"/>
        <v>1707.0277068612736</v>
      </c>
      <c r="I92" s="662">
        <f t="shared" si="16"/>
        <v>50.072289838000522</v>
      </c>
      <c r="J92" s="663">
        <f t="shared" si="17"/>
        <v>36.719679214533713</v>
      </c>
    </row>
    <row r="93" spans="2:10" x14ac:dyDescent="0.25">
      <c r="B93" s="675">
        <f>Amnt_Deposited!B85</f>
        <v>2024</v>
      </c>
      <c r="C93" s="676">
        <f>IF(Select2=1,Amnt_Deposited!F85,(Amnt_Deposited!F85+Amnt_Deposited!L85*Parameters!$E$47))</f>
        <v>292.38299999999998</v>
      </c>
      <c r="D93" s="677">
        <f>MCF!R92</f>
        <v>1</v>
      </c>
      <c r="E93" s="662">
        <f t="shared" si="12"/>
        <v>62.862344999999998</v>
      </c>
      <c r="F93" s="662">
        <f t="shared" si="13"/>
        <v>62.862344999999998</v>
      </c>
      <c r="G93" s="662">
        <f t="shared" si="14"/>
        <v>0</v>
      </c>
      <c r="H93" s="662">
        <f t="shared" si="15"/>
        <v>1719.4397587670751</v>
      </c>
      <c r="I93" s="662">
        <f t="shared" si="16"/>
        <v>50.450293094198564</v>
      </c>
      <c r="J93" s="663">
        <f t="shared" si="17"/>
        <v>36.99688160241228</v>
      </c>
    </row>
    <row r="94" spans="2:10" x14ac:dyDescent="0.25">
      <c r="B94" s="675">
        <f>Amnt_Deposited!B86</f>
        <v>2025</v>
      </c>
      <c r="C94" s="676">
        <f>IF(Select2=1,Amnt_Deposited!F86,(Amnt_Deposited!F86+Amnt_Deposited!L86*Parameters!$E$47))</f>
        <v>292.38299999999998</v>
      </c>
      <c r="D94" s="677">
        <f>MCF!R93</f>
        <v>1</v>
      </c>
      <c r="E94" s="662">
        <f t="shared" si="12"/>
        <v>62.862344999999998</v>
      </c>
      <c r="F94" s="662">
        <f t="shared" si="13"/>
        <v>62.862344999999998</v>
      </c>
      <c r="G94" s="662">
        <f t="shared" si="14"/>
        <v>0</v>
      </c>
      <c r="H94" s="662">
        <f t="shared" si="15"/>
        <v>1731.4849791012323</v>
      </c>
      <c r="I94" s="662">
        <f t="shared" si="16"/>
        <v>50.817124665842755</v>
      </c>
      <c r="J94" s="663">
        <f t="shared" si="17"/>
        <v>37.265891421618022</v>
      </c>
    </row>
    <row r="95" spans="2:10" x14ac:dyDescent="0.25">
      <c r="B95" s="675">
        <f>Amnt_Deposited!B87</f>
        <v>2026</v>
      </c>
      <c r="C95" s="676">
        <f>IF(Select2=1,Amnt_Deposited!F87,(Amnt_Deposited!F87+Amnt_Deposited!L87*Parameters!$E$47))</f>
        <v>292.38299999999998</v>
      </c>
      <c r="D95" s="677">
        <f>MCF!R94</f>
        <v>1</v>
      </c>
      <c r="E95" s="662">
        <f t="shared" si="12"/>
        <v>62.862344999999998</v>
      </c>
      <c r="F95" s="662">
        <f t="shared" si="13"/>
        <v>62.862344999999998</v>
      </c>
      <c r="G95" s="662">
        <f t="shared" si="14"/>
        <v>0</v>
      </c>
      <c r="H95" s="662">
        <f t="shared" si="15"/>
        <v>1743.1742093751229</v>
      </c>
      <c r="I95" s="662">
        <f t="shared" si="16"/>
        <v>51.173114726109425</v>
      </c>
      <c r="J95" s="663">
        <f t="shared" si="17"/>
        <v>37.526950799146917</v>
      </c>
    </row>
    <row r="96" spans="2:10" x14ac:dyDescent="0.25">
      <c r="B96" s="675">
        <f>Amnt_Deposited!B88</f>
        <v>2027</v>
      </c>
      <c r="C96" s="676">
        <f>IF(Select2=1,Amnt_Deposited!F88,(Amnt_Deposited!F88+Amnt_Deposited!L88*Parameters!$E$47))</f>
        <v>292.38299999999998</v>
      </c>
      <c r="D96" s="677">
        <f>MCF!R95</f>
        <v>1</v>
      </c>
      <c r="E96" s="662">
        <f t="shared" si="12"/>
        <v>62.862344999999998</v>
      </c>
      <c r="F96" s="662">
        <f t="shared" si="13"/>
        <v>62.862344999999998</v>
      </c>
      <c r="G96" s="662">
        <f t="shared" si="14"/>
        <v>0</v>
      </c>
      <c r="H96" s="662">
        <f t="shared" si="15"/>
        <v>1754.5179706850399</v>
      </c>
      <c r="I96" s="662">
        <f t="shared" si="16"/>
        <v>51.518583690082892</v>
      </c>
      <c r="J96" s="663">
        <f t="shared" si="17"/>
        <v>37.780294706060786</v>
      </c>
    </row>
    <row r="97" spans="2:10" x14ac:dyDescent="0.25">
      <c r="B97" s="675">
        <f>Amnt_Deposited!B89</f>
        <v>2028</v>
      </c>
      <c r="C97" s="676">
        <f>IF(Select2=1,Amnt_Deposited!F89,(Amnt_Deposited!F89+Amnt_Deposited!L89*Parameters!$E$47))</f>
        <v>292.38299999999998</v>
      </c>
      <c r="D97" s="677">
        <f>MCF!R96</f>
        <v>1</v>
      </c>
      <c r="E97" s="662">
        <f t="shared" si="12"/>
        <v>62.862344999999998</v>
      </c>
      <c r="F97" s="662">
        <f t="shared" si="13"/>
        <v>62.862344999999998</v>
      </c>
      <c r="G97" s="662">
        <f t="shared" si="14"/>
        <v>0</v>
      </c>
      <c r="H97" s="662">
        <f t="shared" si="15"/>
        <v>1765.5264731818893</v>
      </c>
      <c r="I97" s="662">
        <f t="shared" si="16"/>
        <v>51.853842503150567</v>
      </c>
      <c r="J97" s="663">
        <f t="shared" si="17"/>
        <v>38.02615116897708</v>
      </c>
    </row>
    <row r="98" spans="2:10" x14ac:dyDescent="0.25">
      <c r="B98" s="675">
        <f>Amnt_Deposited!B90</f>
        <v>2029</v>
      </c>
      <c r="C98" s="676">
        <f>IF(Select2=1,Amnt_Deposited!F90,(Amnt_Deposited!F90+Amnt_Deposited!L90*Parameters!$E$47))</f>
        <v>292.38299999999998</v>
      </c>
      <c r="D98" s="677">
        <f>MCF!R97</f>
        <v>1</v>
      </c>
      <c r="E98" s="662">
        <f t="shared" si="12"/>
        <v>62.862344999999998</v>
      </c>
      <c r="F98" s="662">
        <f t="shared" si="13"/>
        <v>62.862344999999998</v>
      </c>
      <c r="G98" s="662">
        <f t="shared" si="14"/>
        <v>0</v>
      </c>
      <c r="H98" s="662">
        <f t="shared" si="15"/>
        <v>1776.2096252610145</v>
      </c>
      <c r="I98" s="662">
        <f t="shared" si="16"/>
        <v>52.179192920874861</v>
      </c>
      <c r="J98" s="663">
        <f t="shared" si="17"/>
        <v>38.264741475308234</v>
      </c>
    </row>
    <row r="99" spans="2:10" x14ac:dyDescent="0.25">
      <c r="B99" s="675">
        <f>Amnt_Deposited!B91</f>
        <v>2030</v>
      </c>
      <c r="C99" s="676">
        <f>IF(Select2=1,Amnt_Deposited!F91,(Amnt_Deposited!F91+Amnt_Deposited!L91*Parameters!$E$47))</f>
        <v>292.38299999999998</v>
      </c>
      <c r="D99" s="677">
        <f>MCF!R98</f>
        <v>1</v>
      </c>
      <c r="E99" s="662">
        <f t="shared" si="12"/>
        <v>62.862344999999998</v>
      </c>
      <c r="F99" s="662">
        <f t="shared" si="13"/>
        <v>62.862344999999998</v>
      </c>
      <c r="G99" s="662">
        <f t="shared" si="14"/>
        <v>0</v>
      </c>
      <c r="H99" s="662">
        <f t="shared" si="15"/>
        <v>1786.5770424804209</v>
      </c>
      <c r="I99" s="662">
        <f t="shared" si="16"/>
        <v>52.494927780593557</v>
      </c>
      <c r="J99" s="663">
        <f t="shared" si="17"/>
        <v>38.49628037243528</v>
      </c>
    </row>
    <row r="100" spans="2:10" x14ac:dyDescent="0.25">
      <c r="B100" s="675">
        <f>Amnt_Deposited!B92</f>
        <v>2031</v>
      </c>
      <c r="C100" s="676">
        <f>IF(Select2=1,Amnt_Deposited!F92,(Amnt_Deposited!F92+Amnt_Deposited!L92*Parameters!$E$47))</f>
        <v>292.38299999999998</v>
      </c>
      <c r="D100" s="677">
        <f>MCF!R99</f>
        <v>1</v>
      </c>
      <c r="E100" s="662">
        <f t="shared" si="12"/>
        <v>62.862344999999998</v>
      </c>
      <c r="F100" s="662">
        <f t="shared" si="13"/>
        <v>62.862344999999998</v>
      </c>
      <c r="G100" s="662">
        <f t="shared" si="14"/>
        <v>0</v>
      </c>
      <c r="H100" s="662">
        <f t="shared" si="15"/>
        <v>1796.6380562154277</v>
      </c>
      <c r="I100" s="662">
        <f t="shared" si="16"/>
        <v>52.801331264993124</v>
      </c>
      <c r="J100" s="663">
        <f t="shared" si="17"/>
        <v>38.720976260994959</v>
      </c>
    </row>
    <row r="101" spans="2:10" x14ac:dyDescent="0.25">
      <c r="B101" s="675">
        <f>Amnt_Deposited!B93</f>
        <v>2032</v>
      </c>
      <c r="C101" s="676">
        <f>IF(Select2=1,Amnt_Deposited!F93,(Amnt_Deposited!F93+Amnt_Deposited!L93*Parameters!$E$47))</f>
        <v>292.38299999999998</v>
      </c>
      <c r="D101" s="677">
        <f>MCF!R100</f>
        <v>1</v>
      </c>
      <c r="E101" s="662">
        <f t="shared" si="12"/>
        <v>62.862344999999998</v>
      </c>
      <c r="F101" s="662">
        <f t="shared" si="13"/>
        <v>62.862344999999998</v>
      </c>
      <c r="G101" s="662">
        <f t="shared" si="14"/>
        <v>0</v>
      </c>
      <c r="H101" s="662">
        <f t="shared" si="15"/>
        <v>1806.4017220575354</v>
      </c>
      <c r="I101" s="662">
        <f t="shared" si="16"/>
        <v>53.098679157892377</v>
      </c>
      <c r="J101" s="663">
        <f t="shared" si="17"/>
        <v>38.939031382454409</v>
      </c>
    </row>
    <row r="102" spans="2:10" x14ac:dyDescent="0.25">
      <c r="B102" s="675">
        <f>Amnt_Deposited!B94</f>
        <v>2033</v>
      </c>
      <c r="C102" s="676">
        <f>IF(Select2=1,Amnt_Deposited!F94,(Amnt_Deposited!F94+Amnt_Deposited!L94*Parameters!$E$47))</f>
        <v>292.38299999999998</v>
      </c>
      <c r="D102" s="677">
        <f>MCF!R101</f>
        <v>1</v>
      </c>
      <c r="E102" s="662">
        <f t="shared" si="12"/>
        <v>62.862344999999998</v>
      </c>
      <c r="F102" s="662">
        <f t="shared" si="13"/>
        <v>62.862344999999998</v>
      </c>
      <c r="G102" s="662">
        <f t="shared" si="14"/>
        <v>0</v>
      </c>
      <c r="H102" s="662">
        <f t="shared" si="15"/>
        <v>1815.876827965069</v>
      </c>
      <c r="I102" s="662">
        <f t="shared" si="16"/>
        <v>53.38723909246653</v>
      </c>
      <c r="J102" s="663">
        <f t="shared" si="17"/>
        <v>39.150642001142124</v>
      </c>
    </row>
    <row r="103" spans="2:10" x14ac:dyDescent="0.25">
      <c r="B103" s="675">
        <f>Amnt_Deposited!B95</f>
        <v>2034</v>
      </c>
      <c r="C103" s="676">
        <f>IF(Select2=1,Amnt_Deposited!F95,(Amnt_Deposited!F95+Amnt_Deposited!L95*Parameters!$E$47))</f>
        <v>292.38299999999998</v>
      </c>
      <c r="D103" s="677">
        <f>MCF!R102</f>
        <v>1</v>
      </c>
      <c r="E103" s="662">
        <f t="shared" si="12"/>
        <v>62.862344999999998</v>
      </c>
      <c r="F103" s="662">
        <f t="shared" si="13"/>
        <v>62.862344999999998</v>
      </c>
      <c r="G103" s="662">
        <f t="shared" si="14"/>
        <v>0</v>
      </c>
      <c r="H103" s="662">
        <f t="shared" si="15"/>
        <v>1825.071902172934</v>
      </c>
      <c r="I103" s="662">
        <f t="shared" si="16"/>
        <v>53.667270792135064</v>
      </c>
      <c r="J103" s="663">
        <f t="shared" si="17"/>
        <v>39.355998580899048</v>
      </c>
    </row>
    <row r="104" spans="2:10" x14ac:dyDescent="0.25">
      <c r="B104" s="675">
        <f>Amnt_Deposited!B96</f>
        <v>2035</v>
      </c>
      <c r="C104" s="676">
        <f>IF(Select2=1,Amnt_Deposited!F96,(Amnt_Deposited!F96+Amnt_Deposited!L96*Parameters!$E$47))</f>
        <v>292.38299999999998</v>
      </c>
      <c r="D104" s="677">
        <f>MCF!R103</f>
        <v>1</v>
      </c>
      <c r="E104" s="662">
        <f t="shared" si="12"/>
        <v>62.862344999999998</v>
      </c>
      <c r="F104" s="662">
        <f t="shared" si="13"/>
        <v>62.862344999999998</v>
      </c>
      <c r="G104" s="662">
        <f t="shared" si="14"/>
        <v>0</v>
      </c>
      <c r="H104" s="662">
        <f t="shared" si="15"/>
        <v>1833.9952208686036</v>
      </c>
      <c r="I104" s="662">
        <f t="shared" si="16"/>
        <v>53.939026304330383</v>
      </c>
      <c r="J104" s="663">
        <f t="shared" si="17"/>
        <v>39.555285956508946</v>
      </c>
    </row>
    <row r="105" spans="2:10" x14ac:dyDescent="0.25">
      <c r="B105" s="675">
        <f>Amnt_Deposited!B97</f>
        <v>2036</v>
      </c>
      <c r="C105" s="676">
        <f>IF(Select2=1,Amnt_Deposited!F97,(Amnt_Deposited!F97+Amnt_Deposited!L97*Parameters!$E$47))</f>
        <v>292.38299999999998</v>
      </c>
      <c r="D105" s="677">
        <f>MCF!R104</f>
        <v>1</v>
      </c>
      <c r="E105" s="662">
        <f t="shared" si="12"/>
        <v>62.862344999999998</v>
      </c>
      <c r="F105" s="662">
        <f t="shared" si="13"/>
        <v>62.862344999999998</v>
      </c>
      <c r="G105" s="662">
        <f t="shared" si="14"/>
        <v>0</v>
      </c>
      <c r="H105" s="662">
        <f t="shared" si="15"/>
        <v>1842.6548156412462</v>
      </c>
      <c r="I105" s="662">
        <f t="shared" si="16"/>
        <v>54.202750227357519</v>
      </c>
      <c r="J105" s="663">
        <f t="shared" si="17"/>
        <v>39.748683500062185</v>
      </c>
    </row>
    <row r="106" spans="2:10" x14ac:dyDescent="0.25">
      <c r="B106" s="675">
        <f>Amnt_Deposited!B98</f>
        <v>2037</v>
      </c>
      <c r="C106" s="676">
        <f>IF(Select2=1,Amnt_Deposited!F98,(Amnt_Deposited!F98+Amnt_Deposited!L98*Parameters!$E$47))</f>
        <v>292.38299999999998</v>
      </c>
      <c r="D106" s="677">
        <f>MCF!R105</f>
        <v>1</v>
      </c>
      <c r="E106" s="662">
        <f t="shared" si="12"/>
        <v>62.862344999999998</v>
      </c>
      <c r="F106" s="662">
        <f t="shared" si="13"/>
        <v>62.862344999999998</v>
      </c>
      <c r="G106" s="662">
        <f t="shared" si="14"/>
        <v>0</v>
      </c>
      <c r="H106" s="662">
        <f t="shared" si="15"/>
        <v>1851.058480710697</v>
      </c>
      <c r="I106" s="662">
        <f t="shared" si="16"/>
        <v>54.458679930549103</v>
      </c>
      <c r="J106" s="663">
        <f t="shared" si="17"/>
        <v>39.936365282402676</v>
      </c>
    </row>
    <row r="107" spans="2:10" x14ac:dyDescent="0.25">
      <c r="B107" s="675">
        <f>Amnt_Deposited!B99</f>
        <v>2038</v>
      </c>
      <c r="C107" s="676">
        <f>IF(Select2=1,Amnt_Deposited!F99,(Amnt_Deposited!F99+Amnt_Deposited!L99*Parameters!$E$47))</f>
        <v>292.38299999999998</v>
      </c>
      <c r="D107" s="677">
        <f>MCF!R106</f>
        <v>1</v>
      </c>
      <c r="E107" s="662">
        <f t="shared" si="12"/>
        <v>62.862344999999998</v>
      </c>
      <c r="F107" s="662">
        <f t="shared" si="13"/>
        <v>62.862344999999998</v>
      </c>
      <c r="G107" s="662">
        <f t="shared" si="14"/>
        <v>0</v>
      </c>
      <c r="H107" s="662">
        <f t="shared" si="15"/>
        <v>1859.2137799427833</v>
      </c>
      <c r="I107" s="662">
        <f t="shared" si="16"/>
        <v>54.707045767913762</v>
      </c>
      <c r="J107" s="663">
        <f t="shared" si="17"/>
        <v>40.118500229803431</v>
      </c>
    </row>
    <row r="108" spans="2:10" x14ac:dyDescent="0.25">
      <c r="B108" s="675">
        <f>Amnt_Deposited!B100</f>
        <v>2039</v>
      </c>
      <c r="C108" s="676">
        <f>IF(Select2=1,Amnt_Deposited!F100,(Amnt_Deposited!F100+Amnt_Deposited!L100*Parameters!$E$47))</f>
        <v>292.38299999999998</v>
      </c>
      <c r="D108" s="677">
        <f>MCF!R107</f>
        <v>1</v>
      </c>
      <c r="E108" s="662">
        <f t="shared" si="12"/>
        <v>62.862344999999998</v>
      </c>
      <c r="F108" s="662">
        <f t="shared" si="13"/>
        <v>62.862344999999998</v>
      </c>
      <c r="G108" s="662">
        <f t="shared" si="14"/>
        <v>0</v>
      </c>
      <c r="H108" s="662">
        <f t="shared" si="15"/>
        <v>1867.1280536573129</v>
      </c>
      <c r="I108" s="662">
        <f t="shared" si="16"/>
        <v>54.948071285470334</v>
      </c>
      <c r="J108" s="663">
        <f t="shared" si="17"/>
        <v>40.295252276011581</v>
      </c>
    </row>
    <row r="109" spans="2:10" ht="15.75" thickBot="1" x14ac:dyDescent="0.3">
      <c r="B109" s="678">
        <f>Amnt_Deposited!B101</f>
        <v>2040</v>
      </c>
      <c r="C109" s="665">
        <f>IF(Select2=1,Amnt_Deposited!F101,(Amnt_Deposited!F101+Amnt_Deposited!L101*Parameters!$E$47))</f>
        <v>292.38299999999998</v>
      </c>
      <c r="D109" s="679">
        <f>MCF!R108</f>
        <v>1</v>
      </c>
      <c r="E109" s="667">
        <f t="shared" si="12"/>
        <v>62.862344999999998</v>
      </c>
      <c r="F109" s="667">
        <f t="shared" si="13"/>
        <v>62.862344999999998</v>
      </c>
      <c r="G109" s="667">
        <f t="shared" si="14"/>
        <v>0</v>
      </c>
      <c r="H109" s="667">
        <f t="shared" si="15"/>
        <v>1874.8084252348585</v>
      </c>
      <c r="I109" s="667">
        <f t="shared" si="16"/>
        <v>55.18197342245432</v>
      </c>
      <c r="J109" s="668">
        <f t="shared" si="17"/>
        <v>40.466780509799833</v>
      </c>
    </row>
  </sheetData>
  <pageMargins left="0.7" right="0.7" top="0.78740157499999996" bottom="0.78740157499999996"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6"/>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28515625" style="281" customWidth="1"/>
    <col min="9" max="9" width="11.570312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28515625" style="44" customWidth="1"/>
    <col min="265" max="265" width="11.570312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28515625" style="44" customWidth="1"/>
    <col min="521" max="521" width="11.570312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28515625" style="44" customWidth="1"/>
    <col min="777" max="777" width="11.570312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28515625" style="44" customWidth="1"/>
    <col min="1033" max="1033" width="11.570312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28515625" style="44" customWidth="1"/>
    <col min="1289" max="1289" width="11.570312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28515625" style="44" customWidth="1"/>
    <col min="1545" max="1545" width="11.570312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28515625" style="44" customWidth="1"/>
    <col min="1801" max="1801" width="11.570312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28515625" style="44" customWidth="1"/>
    <col min="2057" max="2057" width="11.570312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28515625" style="44" customWidth="1"/>
    <col min="2313" max="2313" width="11.570312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28515625" style="44" customWidth="1"/>
    <col min="2569" max="2569" width="11.570312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28515625" style="44" customWidth="1"/>
    <col min="2825" max="2825" width="11.570312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28515625" style="44" customWidth="1"/>
    <col min="3081" max="3081" width="11.570312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28515625" style="44" customWidth="1"/>
    <col min="3337" max="3337" width="11.570312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28515625" style="44" customWidth="1"/>
    <col min="3593" max="3593" width="11.570312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28515625" style="44" customWidth="1"/>
    <col min="3849" max="3849" width="11.570312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28515625" style="44" customWidth="1"/>
    <col min="4105" max="4105" width="11.570312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28515625" style="44" customWidth="1"/>
    <col min="4361" max="4361" width="11.570312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28515625" style="44" customWidth="1"/>
    <col min="4617" max="4617" width="11.570312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28515625" style="44" customWidth="1"/>
    <col min="4873" max="4873" width="11.570312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28515625" style="44" customWidth="1"/>
    <col min="5129" max="5129" width="11.570312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28515625" style="44" customWidth="1"/>
    <col min="5385" max="5385" width="11.570312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28515625" style="44" customWidth="1"/>
    <col min="5641" max="5641" width="11.570312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28515625" style="44" customWidth="1"/>
    <col min="5897" max="5897" width="11.570312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28515625" style="44" customWidth="1"/>
    <col min="6153" max="6153" width="11.570312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28515625" style="44" customWidth="1"/>
    <col min="6409" max="6409" width="11.570312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28515625" style="44" customWidth="1"/>
    <col min="6665" max="6665" width="11.570312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28515625" style="44" customWidth="1"/>
    <col min="6921" max="6921" width="11.570312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28515625" style="44" customWidth="1"/>
    <col min="7177" max="7177" width="11.570312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28515625" style="44" customWidth="1"/>
    <col min="7433" max="7433" width="11.570312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28515625" style="44" customWidth="1"/>
    <col min="7689" max="7689" width="11.570312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28515625" style="44" customWidth="1"/>
    <col min="7945" max="7945" width="11.570312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28515625" style="44" customWidth="1"/>
    <col min="8201" max="8201" width="11.570312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28515625" style="44" customWidth="1"/>
    <col min="8457" max="8457" width="11.570312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28515625" style="44" customWidth="1"/>
    <col min="8713" max="8713" width="11.570312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28515625" style="44" customWidth="1"/>
    <col min="8969" max="8969" width="11.570312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28515625" style="44" customWidth="1"/>
    <col min="9225" max="9225" width="11.570312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28515625" style="44" customWidth="1"/>
    <col min="9481" max="9481" width="11.570312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28515625" style="44" customWidth="1"/>
    <col min="9737" max="9737" width="11.570312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28515625" style="44" customWidth="1"/>
    <col min="9993" max="9993" width="11.570312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28515625" style="44" customWidth="1"/>
    <col min="10249" max="10249" width="11.570312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28515625" style="44" customWidth="1"/>
    <col min="10505" max="10505" width="11.570312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28515625" style="44" customWidth="1"/>
    <col min="10761" max="10761" width="11.570312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28515625" style="44" customWidth="1"/>
    <col min="11017" max="11017" width="11.570312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28515625" style="44" customWidth="1"/>
    <col min="11273" max="11273" width="11.570312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28515625" style="44" customWidth="1"/>
    <col min="11529" max="11529" width="11.570312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28515625" style="44" customWidth="1"/>
    <col min="11785" max="11785" width="11.570312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28515625" style="44" customWidth="1"/>
    <col min="12041" max="12041" width="11.570312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28515625" style="44" customWidth="1"/>
    <col min="12297" max="12297" width="11.570312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28515625" style="44" customWidth="1"/>
    <col min="12553" max="12553" width="11.570312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28515625" style="44" customWidth="1"/>
    <col min="12809" max="12809" width="11.570312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28515625" style="44" customWidth="1"/>
    <col min="13065" max="13065" width="11.570312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28515625" style="44" customWidth="1"/>
    <col min="13321" max="13321" width="11.570312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28515625" style="44" customWidth="1"/>
    <col min="13577" max="13577" width="11.570312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28515625" style="44" customWidth="1"/>
    <col min="13833" max="13833" width="11.570312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28515625" style="44" customWidth="1"/>
    <col min="14089" max="14089" width="11.570312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28515625" style="44" customWidth="1"/>
    <col min="14345" max="14345" width="11.570312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28515625" style="44" customWidth="1"/>
    <col min="14601" max="14601" width="11.570312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28515625" style="44" customWidth="1"/>
    <col min="14857" max="14857" width="11.570312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28515625" style="44" customWidth="1"/>
    <col min="15113" max="15113" width="11.570312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28515625" style="44" customWidth="1"/>
    <col min="15369" max="15369" width="11.570312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28515625" style="44" customWidth="1"/>
    <col min="15625" max="15625" width="11.570312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28515625" style="44" customWidth="1"/>
    <col min="15881" max="15881" width="11.570312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28515625" style="44" customWidth="1"/>
    <col min="16137" max="16137" width="11.5703125" style="44" customWidth="1"/>
    <col min="16138" max="16138" width="10.28515625" style="44" customWidth="1"/>
    <col min="16139" max="16384" width="9.140625" style="44"/>
  </cols>
  <sheetData>
    <row r="2" spans="1:10" ht="15.75" x14ac:dyDescent="0.25">
      <c r="B2" s="669" t="s">
        <v>287</v>
      </c>
      <c r="C2" s="585"/>
      <c r="D2" s="586"/>
      <c r="E2" s="587"/>
      <c r="F2" s="587"/>
      <c r="G2" s="587"/>
      <c r="H2" s="587"/>
      <c r="I2" s="587"/>
      <c r="J2" s="587"/>
    </row>
    <row r="3" spans="1:10" ht="15.75" x14ac:dyDescent="0.25">
      <c r="B3" s="588" t="str">
        <f>IF(Select2=2,"This sheet applies only to the waste compositon option and can be deleted when the bulk waste option has been chosen","")</f>
        <v/>
      </c>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Parameters!M17</f>
        <v>0.24</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Parameters!M31</f>
        <v>0.06</v>
      </c>
      <c r="J8" s="609"/>
    </row>
    <row r="9" spans="1:10" ht="15.75" x14ac:dyDescent="0.3">
      <c r="D9" s="610" t="s">
        <v>260</v>
      </c>
      <c r="E9" s="611"/>
      <c r="F9" s="611"/>
      <c r="G9" s="612"/>
      <c r="H9" s="613" t="s">
        <v>261</v>
      </c>
      <c r="I9" s="614">
        <f>LN(2)/$I$8</f>
        <v>11.552453009332423</v>
      </c>
      <c r="J9" s="609"/>
    </row>
    <row r="10" spans="1:10" x14ac:dyDescent="0.25">
      <c r="D10" s="615" t="s">
        <v>262</v>
      </c>
      <c r="E10" s="616"/>
      <c r="F10" s="616"/>
      <c r="G10" s="617"/>
      <c r="H10" s="618" t="s">
        <v>263</v>
      </c>
      <c r="I10" s="619">
        <f>EXP(-$I$8)</f>
        <v>0.94176453358424872</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48"/>
      <c r="D18" s="649"/>
      <c r="E18" s="650"/>
      <c r="F18" s="651"/>
      <c r="G18" s="651"/>
      <c r="H18" s="651"/>
      <c r="I18" s="651"/>
      <c r="J18" s="652"/>
    </row>
    <row r="19" spans="2:10" x14ac:dyDescent="0.25">
      <c r="B19" s="653">
        <f>Amnt_Deposited!B11</f>
        <v>1950</v>
      </c>
      <c r="C19" s="654">
        <f>Amnt_Deposited!G11</f>
        <v>160.74</v>
      </c>
      <c r="D19" s="655">
        <f>MCF!R18</f>
        <v>0.6</v>
      </c>
      <c r="E19" s="656">
        <f>C19*$I$6*DOCF*D19</f>
        <v>11.57328</v>
      </c>
      <c r="F19" s="657">
        <f t="shared" ref="F19:F82" si="0">E19*$I$12</f>
        <v>11.57328</v>
      </c>
      <c r="G19" s="657">
        <f>E19*(1-$I$12)</f>
        <v>0</v>
      </c>
      <c r="H19" s="657">
        <f>F19+H18*$I$10</f>
        <v>11.57328</v>
      </c>
      <c r="I19" s="657">
        <f>H18*(1-$I$10)+G19</f>
        <v>0</v>
      </c>
      <c r="J19" s="658">
        <f>I19*CH4_fraction*conv</f>
        <v>0</v>
      </c>
    </row>
    <row r="20" spans="2:10" x14ac:dyDescent="0.25">
      <c r="B20" s="659">
        <f>Amnt_Deposited!B12</f>
        <v>1951</v>
      </c>
      <c r="C20" s="660">
        <f>Amnt_Deposited!G12</f>
        <v>160.74</v>
      </c>
      <c r="D20" s="661">
        <f>MCF!R19</f>
        <v>0.6</v>
      </c>
      <c r="E20" s="662">
        <f t="shared" ref="E20:E83" si="1">C20*$I$6*DOCF*D20</f>
        <v>11.57328</v>
      </c>
      <c r="F20" s="662">
        <f t="shared" si="0"/>
        <v>11.57328</v>
      </c>
      <c r="G20" s="662">
        <f t="shared" ref="G20:G83" si="2">E20*(1-$I$12)</f>
        <v>0</v>
      </c>
      <c r="H20" s="662">
        <f t="shared" ref="H20:H83" si="3">F20+H19*$I$10</f>
        <v>22.472584641239916</v>
      </c>
      <c r="I20" s="662">
        <f t="shared" ref="I20:I83" si="4">H19*(1-$I$10)+G20</f>
        <v>0.67397535876008596</v>
      </c>
      <c r="J20" s="663">
        <f>I20*CH4_fraction*conv</f>
        <v>0.49424859642406305</v>
      </c>
    </row>
    <row r="21" spans="2:10" x14ac:dyDescent="0.25">
      <c r="B21" s="659">
        <f>Amnt_Deposited!B13</f>
        <v>1952</v>
      </c>
      <c r="C21" s="660">
        <f>Amnt_Deposited!G13</f>
        <v>160.74</v>
      </c>
      <c r="D21" s="661">
        <f>MCF!R20</f>
        <v>0.6</v>
      </c>
      <c r="E21" s="662">
        <f t="shared" si="1"/>
        <v>11.57328</v>
      </c>
      <c r="F21" s="662">
        <f t="shared" si="0"/>
        <v>11.57328</v>
      </c>
      <c r="G21" s="662">
        <f t="shared" si="2"/>
        <v>0</v>
      </c>
      <c r="H21" s="662">
        <f t="shared" si="3"/>
        <v>32.737163193089856</v>
      </c>
      <c r="I21" s="662">
        <f t="shared" si="4"/>
        <v>1.3087014481500552</v>
      </c>
      <c r="J21" s="663">
        <f t="shared" ref="J21:J84" si="5">I21*CH4_fraction*conv</f>
        <v>0.95971439531004044</v>
      </c>
    </row>
    <row r="22" spans="2:10" x14ac:dyDescent="0.25">
      <c r="B22" s="659">
        <f>Amnt_Deposited!B14</f>
        <v>1953</v>
      </c>
      <c r="C22" s="660">
        <f>Amnt_Deposited!G14</f>
        <v>160.74</v>
      </c>
      <c r="D22" s="661">
        <f>MCF!R21</f>
        <v>0.6</v>
      </c>
      <c r="E22" s="662">
        <f t="shared" si="1"/>
        <v>11.57328</v>
      </c>
      <c r="F22" s="662">
        <f t="shared" si="0"/>
        <v>11.57328</v>
      </c>
      <c r="G22" s="662">
        <f t="shared" si="2"/>
        <v>0</v>
      </c>
      <c r="H22" s="662">
        <f t="shared" si="3"/>
        <v>42.403979225411703</v>
      </c>
      <c r="I22" s="662">
        <f t="shared" si="4"/>
        <v>1.9064639676781532</v>
      </c>
      <c r="J22" s="663">
        <f t="shared" si="5"/>
        <v>1.3980735762973124</v>
      </c>
    </row>
    <row r="23" spans="2:10" x14ac:dyDescent="0.25">
      <c r="B23" s="659">
        <f>Amnt_Deposited!B15</f>
        <v>1954</v>
      </c>
      <c r="C23" s="660">
        <f>Amnt_Deposited!G15</f>
        <v>160.74</v>
      </c>
      <c r="D23" s="661">
        <f>MCF!R22</f>
        <v>0.6</v>
      </c>
      <c r="E23" s="662">
        <f t="shared" si="1"/>
        <v>11.57328</v>
      </c>
      <c r="F23" s="662">
        <f t="shared" si="0"/>
        <v>11.57328</v>
      </c>
      <c r="G23" s="662">
        <f t="shared" si="2"/>
        <v>0</v>
      </c>
      <c r="H23" s="662">
        <f t="shared" si="3"/>
        <v>51.50784371733603</v>
      </c>
      <c r="I23" s="662">
        <f t="shared" si="4"/>
        <v>2.4694155080756781</v>
      </c>
      <c r="J23" s="663">
        <f t="shared" si="5"/>
        <v>1.8109047059221641</v>
      </c>
    </row>
    <row r="24" spans="2:10" x14ac:dyDescent="0.25">
      <c r="B24" s="659">
        <f>Amnt_Deposited!B16</f>
        <v>1955</v>
      </c>
      <c r="C24" s="660">
        <f>Amnt_Deposited!G16</f>
        <v>160.74</v>
      </c>
      <c r="D24" s="661">
        <f>MCF!R23</f>
        <v>0.6</v>
      </c>
      <c r="E24" s="662">
        <f t="shared" si="1"/>
        <v>11.57328</v>
      </c>
      <c r="F24" s="662">
        <f t="shared" si="0"/>
        <v>11.57328</v>
      </c>
      <c r="G24" s="662">
        <f t="shared" si="2"/>
        <v>0</v>
      </c>
      <c r="H24" s="662">
        <f t="shared" si="3"/>
        <v>60.081540414387348</v>
      </c>
      <c r="I24" s="662">
        <f t="shared" si="4"/>
        <v>2.9995833029486878</v>
      </c>
      <c r="J24" s="663">
        <f t="shared" si="5"/>
        <v>2.1996944221623709</v>
      </c>
    </row>
    <row r="25" spans="2:10" x14ac:dyDescent="0.25">
      <c r="B25" s="659">
        <f>Amnt_Deposited!B17</f>
        <v>1956</v>
      </c>
      <c r="C25" s="660">
        <f>Amnt_Deposited!G17</f>
        <v>160.74</v>
      </c>
      <c r="D25" s="661">
        <f>MCF!R24</f>
        <v>0.6</v>
      </c>
      <c r="E25" s="662">
        <f t="shared" si="1"/>
        <v>11.57328</v>
      </c>
      <c r="F25" s="662">
        <f t="shared" si="0"/>
        <v>11.57328</v>
      </c>
      <c r="G25" s="662">
        <f t="shared" si="2"/>
        <v>0</v>
      </c>
      <c r="H25" s="662">
        <f t="shared" si="3"/>
        <v>68.15594388537869</v>
      </c>
      <c r="I25" s="662">
        <f t="shared" si="4"/>
        <v>3.4988765290086579</v>
      </c>
      <c r="J25" s="663">
        <f t="shared" si="5"/>
        <v>2.5658427879396823</v>
      </c>
    </row>
    <row r="26" spans="2:10" x14ac:dyDescent="0.25">
      <c r="B26" s="659">
        <f>Amnt_Deposited!B18</f>
        <v>1957</v>
      </c>
      <c r="C26" s="660">
        <f>Amnt_Deposited!G18</f>
        <v>160.74</v>
      </c>
      <c r="D26" s="661">
        <f>MCF!R25</f>
        <v>0.6</v>
      </c>
      <c r="E26" s="662">
        <f t="shared" si="1"/>
        <v>11.57328</v>
      </c>
      <c r="F26" s="662">
        <f t="shared" si="0"/>
        <v>11.57328</v>
      </c>
      <c r="G26" s="662">
        <f t="shared" si="2"/>
        <v>0</v>
      </c>
      <c r="H26" s="662">
        <f t="shared" si="3"/>
        <v>75.760130704207882</v>
      </c>
      <c r="I26" s="662">
        <f t="shared" si="4"/>
        <v>3.9690931811707997</v>
      </c>
      <c r="J26" s="663">
        <f t="shared" si="5"/>
        <v>2.9106683328585867</v>
      </c>
    </row>
    <row r="27" spans="2:10" x14ac:dyDescent="0.25">
      <c r="B27" s="659">
        <f>Amnt_Deposited!B19</f>
        <v>1958</v>
      </c>
      <c r="C27" s="660">
        <f>Amnt_Deposited!G19</f>
        <v>160.74</v>
      </c>
      <c r="D27" s="661">
        <f>MCF!R26</f>
        <v>0.6</v>
      </c>
      <c r="E27" s="662">
        <f t="shared" si="1"/>
        <v>11.57328</v>
      </c>
      <c r="F27" s="662">
        <f t="shared" si="0"/>
        <v>11.57328</v>
      </c>
      <c r="G27" s="662">
        <f t="shared" si="2"/>
        <v>0</v>
      </c>
      <c r="H27" s="662">
        <f t="shared" si="3"/>
        <v>82.921484156930049</v>
      </c>
      <c r="I27" s="662">
        <f t="shared" si="4"/>
        <v>4.4119265472778251</v>
      </c>
      <c r="J27" s="663">
        <f t="shared" si="5"/>
        <v>3.235412801337072</v>
      </c>
    </row>
    <row r="28" spans="2:10" x14ac:dyDescent="0.25">
      <c r="B28" s="659">
        <f>Amnt_Deposited!B20</f>
        <v>1959</v>
      </c>
      <c r="C28" s="660">
        <f>Amnt_Deposited!G20</f>
        <v>160.74</v>
      </c>
      <c r="D28" s="661">
        <f>MCF!R27</f>
        <v>0.6</v>
      </c>
      <c r="E28" s="662">
        <f t="shared" si="1"/>
        <v>11.57328</v>
      </c>
      <c r="F28" s="662">
        <f t="shared" si="0"/>
        <v>11.57328</v>
      </c>
      <c r="G28" s="662">
        <f t="shared" si="2"/>
        <v>0</v>
      </c>
      <c r="H28" s="662">
        <f t="shared" si="3"/>
        <v>89.665792851164895</v>
      </c>
      <c r="I28" s="662">
        <f t="shared" si="4"/>
        <v>4.828971305765152</v>
      </c>
      <c r="J28" s="663">
        <f t="shared" si="5"/>
        <v>3.5412456242277779</v>
      </c>
    </row>
    <row r="29" spans="2:10" x14ac:dyDescent="0.25">
      <c r="B29" s="659">
        <f>Amnt_Deposited!B21</f>
        <v>1960</v>
      </c>
      <c r="C29" s="660">
        <f>Amnt_Deposited!G21</f>
        <v>160.74</v>
      </c>
      <c r="D29" s="661">
        <f>MCF!R28</f>
        <v>0.6</v>
      </c>
      <c r="E29" s="662">
        <f t="shared" si="1"/>
        <v>11.57328</v>
      </c>
      <c r="F29" s="662">
        <f t="shared" si="0"/>
        <v>11.57328</v>
      </c>
      <c r="G29" s="662">
        <f t="shared" si="2"/>
        <v>0</v>
      </c>
      <c r="H29" s="662">
        <f t="shared" si="3"/>
        <v>96.017343582939162</v>
      </c>
      <c r="I29" s="662">
        <f t="shared" si="4"/>
        <v>5.2217292682257241</v>
      </c>
      <c r="J29" s="663">
        <f t="shared" si="5"/>
        <v>3.8292681300321978</v>
      </c>
    </row>
    <row r="30" spans="2:10" x14ac:dyDescent="0.25">
      <c r="B30" s="659">
        <f>Amnt_Deposited!B22</f>
        <v>1961</v>
      </c>
      <c r="C30" s="660">
        <f>Amnt_Deposited!G22</f>
        <v>160.74</v>
      </c>
      <c r="D30" s="661">
        <f>MCF!R29</f>
        <v>0.6</v>
      </c>
      <c r="E30" s="662">
        <f t="shared" si="1"/>
        <v>11.57328</v>
      </c>
      <c r="F30" s="662">
        <f t="shared" si="0"/>
        <v>11.57328</v>
      </c>
      <c r="G30" s="662">
        <f t="shared" si="2"/>
        <v>0</v>
      </c>
      <c r="H30" s="662">
        <f t="shared" si="3"/>
        <v>101.99900879538525</v>
      </c>
      <c r="I30" s="662">
        <f t="shared" si="4"/>
        <v>5.5916147875539055</v>
      </c>
      <c r="J30" s="663">
        <f t="shared" si="5"/>
        <v>4.100517510872864</v>
      </c>
    </row>
    <row r="31" spans="2:10" x14ac:dyDescent="0.25">
      <c r="B31" s="659">
        <f>Amnt_Deposited!B23</f>
        <v>1962</v>
      </c>
      <c r="C31" s="660">
        <f>Amnt_Deposited!G23</f>
        <v>160.74</v>
      </c>
      <c r="D31" s="661">
        <f>MCF!R30</f>
        <v>0.6</v>
      </c>
      <c r="E31" s="662">
        <f t="shared" si="1"/>
        <v>11.57328</v>
      </c>
      <c r="F31" s="662">
        <f t="shared" si="0"/>
        <v>11.57328</v>
      </c>
      <c r="G31" s="662">
        <f t="shared" si="2"/>
        <v>0</v>
      </c>
      <c r="H31" s="662">
        <f t="shared" si="3"/>
        <v>107.63232894424166</v>
      </c>
      <c r="I31" s="662">
        <f t="shared" si="4"/>
        <v>5.9399598511435769</v>
      </c>
      <c r="J31" s="663">
        <f t="shared" si="5"/>
        <v>4.3559705575052901</v>
      </c>
    </row>
    <row r="32" spans="2:10" x14ac:dyDescent="0.25">
      <c r="B32" s="659">
        <f>Amnt_Deposited!B24</f>
        <v>1963</v>
      </c>
      <c r="C32" s="660">
        <f>Amnt_Deposited!G24</f>
        <v>160.74</v>
      </c>
      <c r="D32" s="661">
        <f>MCF!R31</f>
        <v>0.6</v>
      </c>
      <c r="E32" s="662">
        <f t="shared" si="1"/>
        <v>11.57328</v>
      </c>
      <c r="F32" s="662">
        <f t="shared" si="0"/>
        <v>11.57328</v>
      </c>
      <c r="G32" s="662">
        <f t="shared" si="2"/>
        <v>0</v>
      </c>
      <c r="H32" s="662">
        <f t="shared" si="3"/>
        <v>112.93759006676018</v>
      </c>
      <c r="I32" s="662">
        <f t="shared" si="4"/>
        <v>6.26801887748148</v>
      </c>
      <c r="J32" s="663">
        <f t="shared" si="5"/>
        <v>4.5965471768197519</v>
      </c>
    </row>
    <row r="33" spans="2:10" x14ac:dyDescent="0.25">
      <c r="B33" s="659">
        <f>Amnt_Deposited!B25</f>
        <v>1964</v>
      </c>
      <c r="C33" s="660">
        <f>Amnt_Deposited!G25</f>
        <v>160.74</v>
      </c>
      <c r="D33" s="661">
        <f>MCF!R32</f>
        <v>0.6</v>
      </c>
      <c r="E33" s="662">
        <f t="shared" si="1"/>
        <v>11.57328</v>
      </c>
      <c r="F33" s="662">
        <f t="shared" si="0"/>
        <v>11.57328</v>
      </c>
      <c r="G33" s="662">
        <f t="shared" si="2"/>
        <v>0</v>
      </c>
      <c r="H33" s="662">
        <f t="shared" si="3"/>
        <v>117.93389683335148</v>
      </c>
      <c r="I33" s="662">
        <f t="shared" si="4"/>
        <v>6.5769732334086974</v>
      </c>
      <c r="J33" s="663">
        <f t="shared" si="5"/>
        <v>4.8231137044997112</v>
      </c>
    </row>
    <row r="34" spans="2:10" x14ac:dyDescent="0.25">
      <c r="B34" s="659">
        <f>Amnt_Deposited!B26</f>
        <v>1965</v>
      </c>
      <c r="C34" s="660">
        <f>Amnt_Deposited!G26</f>
        <v>160.74</v>
      </c>
      <c r="D34" s="661">
        <f>MCF!R33</f>
        <v>0.6</v>
      </c>
      <c r="E34" s="662">
        <f t="shared" si="1"/>
        <v>11.57328</v>
      </c>
      <c r="F34" s="662">
        <f t="shared" si="0"/>
        <v>11.57328</v>
      </c>
      <c r="G34" s="662">
        <f t="shared" si="2"/>
        <v>0</v>
      </c>
      <c r="H34" s="662">
        <f t="shared" si="3"/>
        <v>122.63924134503416</v>
      </c>
      <c r="I34" s="662">
        <f t="shared" si="4"/>
        <v>6.8679354883173165</v>
      </c>
      <c r="J34" s="663">
        <f t="shared" si="5"/>
        <v>5.0364860247660319</v>
      </c>
    </row>
    <row r="35" spans="2:10" x14ac:dyDescent="0.25">
      <c r="B35" s="659">
        <f>Amnt_Deposited!B27</f>
        <v>1966</v>
      </c>
      <c r="C35" s="660">
        <f>Amnt_Deposited!G27</f>
        <v>160.74</v>
      </c>
      <c r="D35" s="661">
        <f>MCF!R34</f>
        <v>0.6</v>
      </c>
      <c r="E35" s="662">
        <f t="shared" si="1"/>
        <v>11.57328</v>
      </c>
      <c r="F35" s="662">
        <f t="shared" si="0"/>
        <v>11.57328</v>
      </c>
      <c r="G35" s="662">
        <f t="shared" si="2"/>
        <v>0</v>
      </c>
      <c r="H35" s="662">
        <f t="shared" si="3"/>
        <v>127.07056792443221</v>
      </c>
      <c r="I35" s="662">
        <f t="shared" si="4"/>
        <v>7.1419534206019533</v>
      </c>
      <c r="J35" s="663">
        <f t="shared" si="5"/>
        <v>5.237432508441433</v>
      </c>
    </row>
    <row r="36" spans="2:10" x14ac:dyDescent="0.25">
      <c r="B36" s="659">
        <f>Amnt_Deposited!B28</f>
        <v>1967</v>
      </c>
      <c r="C36" s="660">
        <f>Amnt_Deposited!G28</f>
        <v>160.74</v>
      </c>
      <c r="D36" s="661">
        <f>MCF!R35</f>
        <v>0.6</v>
      </c>
      <c r="E36" s="662">
        <f t="shared" si="1"/>
        <v>11.57328</v>
      </c>
      <c r="F36" s="662">
        <f t="shared" si="0"/>
        <v>11.57328</v>
      </c>
      <c r="G36" s="662">
        <f t="shared" si="2"/>
        <v>0</v>
      </c>
      <c r="H36" s="662">
        <f t="shared" si="3"/>
        <v>131.2438341336385</v>
      </c>
      <c r="I36" s="662">
        <f t="shared" si="4"/>
        <v>7.4000137907937136</v>
      </c>
      <c r="J36" s="663">
        <f t="shared" si="5"/>
        <v>5.4266767799153905</v>
      </c>
    </row>
    <row r="37" spans="2:10" x14ac:dyDescent="0.25">
      <c r="B37" s="659">
        <f>Amnt_Deposited!B29</f>
        <v>1968</v>
      </c>
      <c r="C37" s="660">
        <f>Amnt_Deposited!G29</f>
        <v>160.74</v>
      </c>
      <c r="D37" s="661">
        <f>MCF!R36</f>
        <v>0.6</v>
      </c>
      <c r="E37" s="662">
        <f t="shared" si="1"/>
        <v>11.57328</v>
      </c>
      <c r="F37" s="662">
        <f t="shared" si="0"/>
        <v>11.57328</v>
      </c>
      <c r="G37" s="662">
        <f t="shared" si="2"/>
        <v>0</v>
      </c>
      <c r="H37" s="662">
        <f t="shared" si="3"/>
        <v>135.17406823867458</v>
      </c>
      <c r="I37" s="662">
        <f t="shared" si="4"/>
        <v>7.6430458949639366</v>
      </c>
      <c r="J37" s="663">
        <f t="shared" si="5"/>
        <v>5.6049003229735535</v>
      </c>
    </row>
    <row r="38" spans="2:10" x14ac:dyDescent="0.25">
      <c r="B38" s="659">
        <f>Amnt_Deposited!B30</f>
        <v>1969</v>
      </c>
      <c r="C38" s="660">
        <f>Amnt_Deposited!G30</f>
        <v>160.74</v>
      </c>
      <c r="D38" s="661">
        <f>MCF!R37</f>
        <v>0.6</v>
      </c>
      <c r="E38" s="662">
        <f t="shared" si="1"/>
        <v>11.57328</v>
      </c>
      <c r="F38" s="662">
        <f t="shared" si="0"/>
        <v>11.57328</v>
      </c>
      <c r="G38" s="662">
        <f t="shared" si="2"/>
        <v>0</v>
      </c>
      <c r="H38" s="662">
        <f t="shared" si="3"/>
        <v>138.87542332748077</v>
      </c>
      <c r="I38" s="662">
        <f t="shared" si="4"/>
        <v>7.8719249111938057</v>
      </c>
      <c r="J38" s="663">
        <f t="shared" si="5"/>
        <v>5.7727449348754583</v>
      </c>
    </row>
    <row r="39" spans="2:10" x14ac:dyDescent="0.25">
      <c r="B39" s="659">
        <f>Amnt_Deposited!B31</f>
        <v>1970</v>
      </c>
      <c r="C39" s="660">
        <f>Amnt_Deposited!G31</f>
        <v>160.74</v>
      </c>
      <c r="D39" s="661">
        <f>MCF!R38</f>
        <v>0.8</v>
      </c>
      <c r="E39" s="662">
        <f t="shared" si="1"/>
        <v>15.431040000000003</v>
      </c>
      <c r="F39" s="662">
        <f t="shared" si="0"/>
        <v>15.431040000000003</v>
      </c>
      <c r="G39" s="662">
        <f t="shared" si="2"/>
        <v>0</v>
      </c>
      <c r="H39" s="662">
        <f t="shared" si="3"/>
        <v>146.21898827632003</v>
      </c>
      <c r="I39" s="662">
        <f t="shared" si="4"/>
        <v>8.0874750511607481</v>
      </c>
      <c r="J39" s="663">
        <f t="shared" si="5"/>
        <v>5.9308150375178821</v>
      </c>
    </row>
    <row r="40" spans="2:10" x14ac:dyDescent="0.25">
      <c r="B40" s="659">
        <f>Amnt_Deposited!B32</f>
        <v>1971</v>
      </c>
      <c r="C40" s="660">
        <f>Amnt_Deposited!G32</f>
        <v>160.74</v>
      </c>
      <c r="D40" s="661">
        <f>MCF!R39</f>
        <v>0.8</v>
      </c>
      <c r="E40" s="662">
        <f t="shared" si="1"/>
        <v>15.431040000000003</v>
      </c>
      <c r="F40" s="662">
        <f t="shared" si="0"/>
        <v>15.431040000000003</v>
      </c>
      <c r="G40" s="662">
        <f t="shared" si="2"/>
        <v>0</v>
      </c>
      <c r="H40" s="662">
        <f t="shared" si="3"/>
        <v>153.13489729520927</v>
      </c>
      <c r="I40" s="662">
        <f t="shared" si="4"/>
        <v>8.5151309811107652</v>
      </c>
      <c r="J40" s="663">
        <f t="shared" si="5"/>
        <v>6.2444293861478943</v>
      </c>
    </row>
    <row r="41" spans="2:10" x14ac:dyDescent="0.25">
      <c r="B41" s="659">
        <f>Amnt_Deposited!B33</f>
        <v>1972</v>
      </c>
      <c r="C41" s="660">
        <f>Amnt_Deposited!G33</f>
        <v>160.74</v>
      </c>
      <c r="D41" s="661">
        <f>MCF!R40</f>
        <v>0.8</v>
      </c>
      <c r="E41" s="662">
        <f t="shared" si="1"/>
        <v>15.431040000000003</v>
      </c>
      <c r="F41" s="662">
        <f t="shared" si="0"/>
        <v>15.431040000000003</v>
      </c>
      <c r="G41" s="662">
        <f t="shared" si="2"/>
        <v>0</v>
      </c>
      <c r="H41" s="662">
        <f t="shared" si="3"/>
        <v>159.64805512669457</v>
      </c>
      <c r="I41" s="662">
        <f t="shared" si="4"/>
        <v>8.9178821685146819</v>
      </c>
      <c r="J41" s="663">
        <f t="shared" si="5"/>
        <v>6.5397802569107668</v>
      </c>
    </row>
    <row r="42" spans="2:10" x14ac:dyDescent="0.25">
      <c r="B42" s="659">
        <f>Amnt_Deposited!B34</f>
        <v>1973</v>
      </c>
      <c r="C42" s="660">
        <f>Amnt_Deposited!G34</f>
        <v>160.74</v>
      </c>
      <c r="D42" s="661">
        <f>MCF!R41</f>
        <v>0.8</v>
      </c>
      <c r="E42" s="662">
        <f t="shared" si="1"/>
        <v>15.431040000000003</v>
      </c>
      <c r="F42" s="662">
        <f t="shared" si="0"/>
        <v>15.431040000000003</v>
      </c>
      <c r="G42" s="662">
        <f t="shared" si="2"/>
        <v>0</v>
      </c>
      <c r="H42" s="662">
        <f t="shared" si="3"/>
        <v>165.78191617402393</v>
      </c>
      <c r="I42" s="662">
        <f t="shared" si="4"/>
        <v>9.297178952670631</v>
      </c>
      <c r="J42" s="663">
        <f t="shared" si="5"/>
        <v>6.8179312319584628</v>
      </c>
    </row>
    <row r="43" spans="2:10" x14ac:dyDescent="0.25">
      <c r="B43" s="659">
        <f>Amnt_Deposited!B35</f>
        <v>1974</v>
      </c>
      <c r="C43" s="660">
        <f>Amnt_Deposited!G35</f>
        <v>160.74</v>
      </c>
      <c r="D43" s="661">
        <f>MCF!R42</f>
        <v>0.8</v>
      </c>
      <c r="E43" s="662">
        <f t="shared" si="1"/>
        <v>15.431040000000003</v>
      </c>
      <c r="F43" s="662">
        <f t="shared" si="0"/>
        <v>15.431040000000003</v>
      </c>
      <c r="G43" s="662">
        <f t="shared" si="2"/>
        <v>0</v>
      </c>
      <c r="H43" s="662">
        <f t="shared" si="3"/>
        <v>171.55856896233266</v>
      </c>
      <c r="I43" s="662">
        <f t="shared" si="4"/>
        <v>9.6543872116912652</v>
      </c>
      <c r="J43" s="663">
        <f t="shared" si="5"/>
        <v>7.0798839552402608</v>
      </c>
    </row>
    <row r="44" spans="2:10" x14ac:dyDescent="0.25">
      <c r="B44" s="659">
        <f>Amnt_Deposited!B36</f>
        <v>1975</v>
      </c>
      <c r="C44" s="660">
        <f>Amnt_Deposited!G36</f>
        <v>160.74</v>
      </c>
      <c r="D44" s="661">
        <f>MCF!R43</f>
        <v>0.8</v>
      </c>
      <c r="E44" s="662">
        <f t="shared" si="1"/>
        <v>15.431040000000003</v>
      </c>
      <c r="F44" s="662">
        <f t="shared" si="0"/>
        <v>15.431040000000003</v>
      </c>
      <c r="G44" s="662">
        <f t="shared" si="2"/>
        <v>0</v>
      </c>
      <c r="H44" s="662">
        <f t="shared" si="3"/>
        <v>176.99881568119238</v>
      </c>
      <c r="I44" s="662">
        <f t="shared" si="4"/>
        <v>9.9907932811402738</v>
      </c>
      <c r="J44" s="663">
        <f t="shared" si="5"/>
        <v>7.3265817395028678</v>
      </c>
    </row>
    <row r="45" spans="2:10" x14ac:dyDescent="0.25">
      <c r="B45" s="659">
        <f>Amnt_Deposited!B37</f>
        <v>1976</v>
      </c>
      <c r="C45" s="660">
        <f>Amnt_Deposited!G37</f>
        <v>160.74</v>
      </c>
      <c r="D45" s="661">
        <f>MCF!R44</f>
        <v>0.8</v>
      </c>
      <c r="E45" s="662">
        <f t="shared" si="1"/>
        <v>15.431040000000003</v>
      </c>
      <c r="F45" s="662">
        <f t="shared" si="0"/>
        <v>15.431040000000003</v>
      </c>
      <c r="G45" s="662">
        <f t="shared" si="2"/>
        <v>0</v>
      </c>
      <c r="H45" s="662">
        <f t="shared" si="3"/>
        <v>182.12224709496255</v>
      </c>
      <c r="I45" s="662">
        <f t="shared" si="4"/>
        <v>10.307608586229829</v>
      </c>
      <c r="J45" s="663">
        <f t="shared" si="5"/>
        <v>7.5589129632352083</v>
      </c>
    </row>
    <row r="46" spans="2:10" x14ac:dyDescent="0.25">
      <c r="B46" s="659">
        <f>Amnt_Deposited!B38</f>
        <v>1977</v>
      </c>
      <c r="C46" s="660">
        <f>Amnt_Deposited!G38</f>
        <v>160.74</v>
      </c>
      <c r="D46" s="661">
        <f>MCF!R45</f>
        <v>0.8</v>
      </c>
      <c r="E46" s="662">
        <f t="shared" si="1"/>
        <v>15.431040000000003</v>
      </c>
      <c r="F46" s="662">
        <f t="shared" si="0"/>
        <v>15.431040000000003</v>
      </c>
      <c r="G46" s="662">
        <f t="shared" si="2"/>
        <v>0</v>
      </c>
      <c r="H46" s="662">
        <f t="shared" si="3"/>
        <v>186.94731309070269</v>
      </c>
      <c r="I46" s="662">
        <f t="shared" si="4"/>
        <v>10.605974004259847</v>
      </c>
      <c r="J46" s="663">
        <f t="shared" si="5"/>
        <v>7.7777142697905548</v>
      </c>
    </row>
    <row r="47" spans="2:10" x14ac:dyDescent="0.25">
      <c r="B47" s="659">
        <f>Amnt_Deposited!B39</f>
        <v>1978</v>
      </c>
      <c r="C47" s="660">
        <f>Amnt_Deposited!G39</f>
        <v>160.74</v>
      </c>
      <c r="D47" s="661">
        <f>MCF!R46</f>
        <v>0.8</v>
      </c>
      <c r="E47" s="662">
        <f t="shared" si="1"/>
        <v>15.431040000000003</v>
      </c>
      <c r="F47" s="662">
        <f t="shared" si="0"/>
        <v>15.431040000000003</v>
      </c>
      <c r="G47" s="662">
        <f t="shared" si="2"/>
        <v>0</v>
      </c>
      <c r="H47" s="662">
        <f t="shared" si="3"/>
        <v>191.49138911769413</v>
      </c>
      <c r="I47" s="662">
        <f t="shared" si="4"/>
        <v>10.886963973008557</v>
      </c>
      <c r="J47" s="663">
        <f t="shared" si="5"/>
        <v>7.9837735802062753</v>
      </c>
    </row>
    <row r="48" spans="2:10" x14ac:dyDescent="0.25">
      <c r="B48" s="659">
        <f>Amnt_Deposited!B40</f>
        <v>1979</v>
      </c>
      <c r="C48" s="660">
        <f>Amnt_Deposited!G40</f>
        <v>160.74</v>
      </c>
      <c r="D48" s="661">
        <f>MCF!R47</f>
        <v>0.8</v>
      </c>
      <c r="E48" s="662">
        <f t="shared" si="1"/>
        <v>15.431040000000003</v>
      </c>
      <c r="F48" s="662">
        <f t="shared" si="0"/>
        <v>15.431040000000003</v>
      </c>
      <c r="G48" s="662">
        <f t="shared" si="2"/>
        <v>0</v>
      </c>
      <c r="H48" s="662">
        <f t="shared" si="3"/>
        <v>195.77083875782509</v>
      </c>
      <c r="I48" s="662">
        <f t="shared" si="4"/>
        <v>11.151590359869036</v>
      </c>
      <c r="J48" s="663">
        <f t="shared" si="5"/>
        <v>8.1778329305706272</v>
      </c>
    </row>
    <row r="49" spans="2:10" x14ac:dyDescent="0.25">
      <c r="B49" s="659">
        <f>Amnt_Deposited!B41</f>
        <v>1980</v>
      </c>
      <c r="C49" s="660">
        <f>Amnt_Deposited!G41</f>
        <v>160.74</v>
      </c>
      <c r="D49" s="661">
        <f>MCF!R48</f>
        <v>0.9</v>
      </c>
      <c r="E49" s="662">
        <f t="shared" si="1"/>
        <v>17.359920000000002</v>
      </c>
      <c r="F49" s="662">
        <f t="shared" si="0"/>
        <v>17.359920000000002</v>
      </c>
      <c r="G49" s="662">
        <f t="shared" si="2"/>
        <v>0</v>
      </c>
      <c r="H49" s="662">
        <f t="shared" si="3"/>
        <v>201.72995265216031</v>
      </c>
      <c r="I49" s="662">
        <f t="shared" si="4"/>
        <v>11.400806105664783</v>
      </c>
      <c r="J49" s="663">
        <f t="shared" si="5"/>
        <v>8.3605911441541743</v>
      </c>
    </row>
    <row r="50" spans="2:10" x14ac:dyDescent="0.25">
      <c r="B50" s="659">
        <f>Amnt_Deposited!B42</f>
        <v>1981</v>
      </c>
      <c r="C50" s="660">
        <f>Amnt_Deposited!G42</f>
        <v>160.74</v>
      </c>
      <c r="D50" s="661">
        <f>MCF!R49</f>
        <v>0.9</v>
      </c>
      <c r="E50" s="662">
        <f t="shared" si="1"/>
        <v>17.359920000000002</v>
      </c>
      <c r="F50" s="662">
        <f t="shared" si="0"/>
        <v>17.359920000000002</v>
      </c>
      <c r="G50" s="662">
        <f t="shared" si="2"/>
        <v>0</v>
      </c>
      <c r="H50" s="662">
        <f t="shared" si="3"/>
        <v>207.34203476943435</v>
      </c>
      <c r="I50" s="662">
        <f t="shared" si="4"/>
        <v>11.747837882725978</v>
      </c>
      <c r="J50" s="663">
        <f t="shared" si="5"/>
        <v>8.6150811139990502</v>
      </c>
    </row>
    <row r="51" spans="2:10" x14ac:dyDescent="0.25">
      <c r="B51" s="659">
        <f>Amnt_Deposited!B43</f>
        <v>1982</v>
      </c>
      <c r="C51" s="660">
        <f>Amnt_Deposited!G43</f>
        <v>160.74</v>
      </c>
      <c r="D51" s="661">
        <f>MCF!R50</f>
        <v>0.9</v>
      </c>
      <c r="E51" s="662">
        <f t="shared" si="1"/>
        <v>17.359920000000002</v>
      </c>
      <c r="F51" s="662">
        <f t="shared" si="0"/>
        <v>17.359920000000002</v>
      </c>
      <c r="G51" s="662">
        <f t="shared" si="2"/>
        <v>0</v>
      </c>
      <c r="H51" s="662">
        <f t="shared" si="3"/>
        <v>212.62729466704542</v>
      </c>
      <c r="I51" s="662">
        <f t="shared" si="4"/>
        <v>12.074660102388929</v>
      </c>
      <c r="J51" s="663">
        <f t="shared" si="5"/>
        <v>8.8547507417518823</v>
      </c>
    </row>
    <row r="52" spans="2:10" x14ac:dyDescent="0.25">
      <c r="B52" s="659">
        <f>Amnt_Deposited!B44</f>
        <v>1983</v>
      </c>
      <c r="C52" s="660">
        <f>Amnt_Deposited!G44</f>
        <v>160.74</v>
      </c>
      <c r="D52" s="661">
        <f>MCF!R51</f>
        <v>0.9</v>
      </c>
      <c r="E52" s="662">
        <f t="shared" si="1"/>
        <v>17.359920000000002</v>
      </c>
      <c r="F52" s="662">
        <f t="shared" si="0"/>
        <v>17.359920000000002</v>
      </c>
      <c r="G52" s="662">
        <f t="shared" si="2"/>
        <v>0</v>
      </c>
      <c r="H52" s="662">
        <f t="shared" si="3"/>
        <v>217.60476498939067</v>
      </c>
      <c r="I52" s="662">
        <f t="shared" si="4"/>
        <v>12.382449677654774</v>
      </c>
      <c r="J52" s="663">
        <f t="shared" si="5"/>
        <v>9.0804630969468345</v>
      </c>
    </row>
    <row r="53" spans="2:10" x14ac:dyDescent="0.25">
      <c r="B53" s="659">
        <f>Amnt_Deposited!B45</f>
        <v>1984</v>
      </c>
      <c r="C53" s="660">
        <f>Amnt_Deposited!G45</f>
        <v>160.74</v>
      </c>
      <c r="D53" s="661">
        <f>MCF!R52</f>
        <v>0.9</v>
      </c>
      <c r="E53" s="662">
        <f t="shared" si="1"/>
        <v>17.359920000000002</v>
      </c>
      <c r="F53" s="662">
        <f t="shared" si="0"/>
        <v>17.359920000000002</v>
      </c>
      <c r="G53" s="662">
        <f t="shared" si="2"/>
        <v>0</v>
      </c>
      <c r="H53" s="662">
        <f t="shared" si="3"/>
        <v>222.29237000594355</v>
      </c>
      <c r="I53" s="662">
        <f t="shared" si="4"/>
        <v>12.67231498344711</v>
      </c>
      <c r="J53" s="663">
        <f t="shared" si="5"/>
        <v>9.293030987861215</v>
      </c>
    </row>
    <row r="54" spans="2:10" x14ac:dyDescent="0.25">
      <c r="B54" s="659">
        <f>Amnt_Deposited!B46</f>
        <v>1985</v>
      </c>
      <c r="C54" s="660">
        <f>Amnt_Deposited!G46</f>
        <v>160.74</v>
      </c>
      <c r="D54" s="661">
        <f>MCF!R53</f>
        <v>0.9</v>
      </c>
      <c r="E54" s="662">
        <f t="shared" si="1"/>
        <v>17.359920000000002</v>
      </c>
      <c r="F54" s="662">
        <f t="shared" si="0"/>
        <v>17.359920000000002</v>
      </c>
      <c r="G54" s="662">
        <f t="shared" si="2"/>
        <v>0</v>
      </c>
      <c r="H54" s="662">
        <f t="shared" si="3"/>
        <v>226.70699015798465</v>
      </c>
      <c r="I54" s="662">
        <f t="shared" si="4"/>
        <v>12.945299847958884</v>
      </c>
      <c r="J54" s="663">
        <f t="shared" si="5"/>
        <v>9.493219888503182</v>
      </c>
    </row>
    <row r="55" spans="2:10" x14ac:dyDescent="0.25">
      <c r="B55" s="659">
        <f>Amnt_Deposited!B47</f>
        <v>1986</v>
      </c>
      <c r="C55" s="660">
        <f>Amnt_Deposited!G47</f>
        <v>160.74</v>
      </c>
      <c r="D55" s="661">
        <f>MCF!R54</f>
        <v>0.9</v>
      </c>
      <c r="E55" s="662">
        <f t="shared" si="1"/>
        <v>17.359920000000002</v>
      </c>
      <c r="F55" s="662">
        <f t="shared" si="0"/>
        <v>17.359920000000002</v>
      </c>
      <c r="G55" s="662">
        <f t="shared" si="2"/>
        <v>0</v>
      </c>
      <c r="H55" s="662">
        <f t="shared" si="3"/>
        <v>230.86452284642326</v>
      </c>
      <c r="I55" s="662">
        <f t="shared" si="4"/>
        <v>13.20238731156137</v>
      </c>
      <c r="J55" s="663">
        <f t="shared" si="5"/>
        <v>9.6817506951450056</v>
      </c>
    </row>
    <row r="56" spans="2:10" x14ac:dyDescent="0.25">
      <c r="B56" s="659">
        <f>Amnt_Deposited!B48</f>
        <v>1987</v>
      </c>
      <c r="C56" s="660">
        <f>Amnt_Deposited!G48</f>
        <v>160.74</v>
      </c>
      <c r="D56" s="661">
        <f>MCF!R55</f>
        <v>0.9</v>
      </c>
      <c r="E56" s="662">
        <f t="shared" si="1"/>
        <v>17.359920000000002</v>
      </c>
      <c r="F56" s="662">
        <f t="shared" si="0"/>
        <v>17.359920000000002</v>
      </c>
      <c r="G56" s="662">
        <f t="shared" si="2"/>
        <v>0</v>
      </c>
      <c r="H56" s="662">
        <f t="shared" si="3"/>
        <v>234.77993967961191</v>
      </c>
      <c r="I56" s="662">
        <f t="shared" si="4"/>
        <v>13.444503166811325</v>
      </c>
      <c r="J56" s="663">
        <f t="shared" si="5"/>
        <v>9.8593023223283041</v>
      </c>
    </row>
    <row r="57" spans="2:10" x14ac:dyDescent="0.25">
      <c r="B57" s="659">
        <f>Amnt_Deposited!B49</f>
        <v>1988</v>
      </c>
      <c r="C57" s="660">
        <f>Amnt_Deposited!G49</f>
        <v>160.74</v>
      </c>
      <c r="D57" s="661">
        <f>MCF!R56</f>
        <v>0.9</v>
      </c>
      <c r="E57" s="662">
        <f t="shared" si="1"/>
        <v>17.359920000000002</v>
      </c>
      <c r="F57" s="662">
        <f t="shared" si="0"/>
        <v>17.359920000000002</v>
      </c>
      <c r="G57" s="662">
        <f t="shared" si="2"/>
        <v>0</v>
      </c>
      <c r="H57" s="662">
        <f t="shared" si="3"/>
        <v>238.46734038730779</v>
      </c>
      <c r="I57" s="662">
        <f t="shared" si="4"/>
        <v>13.672519292304152</v>
      </c>
      <c r="J57" s="663">
        <f t="shared" si="5"/>
        <v>10.026514147689712</v>
      </c>
    </row>
    <row r="58" spans="2:10" x14ac:dyDescent="0.25">
      <c r="B58" s="659">
        <f>Amnt_Deposited!B50</f>
        <v>1989</v>
      </c>
      <c r="C58" s="660">
        <f>Amnt_Deposited!G50</f>
        <v>160.74</v>
      </c>
      <c r="D58" s="661">
        <f>MCF!R57</f>
        <v>0.9</v>
      </c>
      <c r="E58" s="662">
        <f t="shared" si="1"/>
        <v>17.359920000000002</v>
      </c>
      <c r="F58" s="662">
        <f t="shared" si="0"/>
        <v>17.359920000000002</v>
      </c>
      <c r="G58" s="662">
        <f t="shared" si="2"/>
        <v>0</v>
      </c>
      <c r="H58" s="662">
        <f t="shared" si="3"/>
        <v>241.94000359492918</v>
      </c>
      <c r="I58" s="662">
        <f t="shared" si="4"/>
        <v>13.887256792378592</v>
      </c>
      <c r="J58" s="663">
        <f t="shared" si="5"/>
        <v>10.183988314410968</v>
      </c>
    </row>
    <row r="59" spans="2:10" x14ac:dyDescent="0.25">
      <c r="B59" s="659">
        <f>Amnt_Deposited!B51</f>
        <v>1990</v>
      </c>
      <c r="C59" s="660">
        <f>Amnt_Deposited!G51</f>
        <v>160.74</v>
      </c>
      <c r="D59" s="661">
        <f>MCF!R58</f>
        <v>1</v>
      </c>
      <c r="E59" s="662">
        <f t="shared" si="1"/>
        <v>19.288800000000002</v>
      </c>
      <c r="F59" s="662">
        <f t="shared" si="0"/>
        <v>19.288800000000002</v>
      </c>
      <c r="G59" s="662">
        <f t="shared" si="2"/>
        <v>0</v>
      </c>
      <c r="H59" s="662">
        <f t="shared" si="3"/>
        <v>247.13931464094995</v>
      </c>
      <c r="I59" s="662">
        <f t="shared" si="4"/>
        <v>14.089488953979242</v>
      </c>
      <c r="J59" s="663">
        <f t="shared" si="5"/>
        <v>10.332291899584778</v>
      </c>
    </row>
    <row r="60" spans="2:10" x14ac:dyDescent="0.25">
      <c r="B60" s="659">
        <f>Amnt_Deposited!B52</f>
        <v>1991</v>
      </c>
      <c r="C60" s="660">
        <f>Amnt_Deposited!G52</f>
        <v>100.2933</v>
      </c>
      <c r="D60" s="661">
        <f>MCF!R59</f>
        <v>1</v>
      </c>
      <c r="E60" s="662">
        <f t="shared" si="1"/>
        <v>12.035195999999999</v>
      </c>
      <c r="F60" s="662">
        <f t="shared" si="0"/>
        <v>12.035195999999999</v>
      </c>
      <c r="G60" s="662">
        <f t="shared" si="2"/>
        <v>0</v>
      </c>
      <c r="H60" s="662">
        <f t="shared" si="3"/>
        <v>244.78223738316512</v>
      </c>
      <c r="I60" s="662">
        <f t="shared" si="4"/>
        <v>14.392273257784829</v>
      </c>
      <c r="J60" s="663">
        <f t="shared" si="5"/>
        <v>10.554333722375542</v>
      </c>
    </row>
    <row r="61" spans="2:10" x14ac:dyDescent="0.25">
      <c r="B61" s="659">
        <f>Amnt_Deposited!B53</f>
        <v>1992</v>
      </c>
      <c r="C61" s="660">
        <f>Amnt_Deposited!G53</f>
        <v>101.01240000000001</v>
      </c>
      <c r="D61" s="661">
        <f>MCF!R60</f>
        <v>1</v>
      </c>
      <c r="E61" s="662">
        <f t="shared" si="1"/>
        <v>12.121488000000001</v>
      </c>
      <c r="F61" s="662">
        <f t="shared" si="0"/>
        <v>12.121488000000001</v>
      </c>
      <c r="G61" s="662">
        <f t="shared" si="2"/>
        <v>0</v>
      </c>
      <c r="H61" s="662">
        <f t="shared" si="3"/>
        <v>242.64871761886536</v>
      </c>
      <c r="I61" s="662">
        <f t="shared" si="4"/>
        <v>14.255007764299771</v>
      </c>
      <c r="J61" s="663">
        <f t="shared" si="5"/>
        <v>10.453672360486499</v>
      </c>
    </row>
    <row r="62" spans="2:10" x14ac:dyDescent="0.25">
      <c r="B62" s="659">
        <f>Amnt_Deposited!B54</f>
        <v>1993</v>
      </c>
      <c r="C62" s="660">
        <f>Amnt_Deposited!G54</f>
        <v>105.0732</v>
      </c>
      <c r="D62" s="661">
        <f>MCF!R61</f>
        <v>1</v>
      </c>
      <c r="E62" s="662">
        <f t="shared" si="1"/>
        <v>12.608784</v>
      </c>
      <c r="F62" s="662">
        <f t="shared" si="0"/>
        <v>12.608784</v>
      </c>
      <c r="G62" s="662">
        <f t="shared" si="2"/>
        <v>0</v>
      </c>
      <c r="H62" s="662">
        <f t="shared" si="3"/>
        <v>241.12674037314679</v>
      </c>
      <c r="I62" s="662">
        <f t="shared" si="4"/>
        <v>14.130761245718549</v>
      </c>
      <c r="J62" s="663">
        <f t="shared" si="5"/>
        <v>10.362558246860271</v>
      </c>
    </row>
    <row r="63" spans="2:10" x14ac:dyDescent="0.25">
      <c r="B63" s="659">
        <f>Amnt_Deposited!B55</f>
        <v>1994</v>
      </c>
      <c r="C63" s="660">
        <f>Amnt_Deposited!G55</f>
        <v>107.56890000000001</v>
      </c>
      <c r="D63" s="661">
        <f>MCF!R62</f>
        <v>1</v>
      </c>
      <c r="E63" s="662">
        <f t="shared" si="1"/>
        <v>12.908268000000001</v>
      </c>
      <c r="F63" s="662">
        <f t="shared" si="0"/>
        <v>12.908268000000001</v>
      </c>
      <c r="G63" s="662">
        <f t="shared" si="2"/>
        <v>0</v>
      </c>
      <c r="H63" s="662">
        <f t="shared" si="3"/>
        <v>239.99288018220682</v>
      </c>
      <c r="I63" s="662">
        <f t="shared" si="4"/>
        <v>14.042128190939968</v>
      </c>
      <c r="J63" s="663">
        <f t="shared" si="5"/>
        <v>10.297560673355976</v>
      </c>
    </row>
    <row r="64" spans="2:10" x14ac:dyDescent="0.25">
      <c r="B64" s="659">
        <f>Amnt_Deposited!B56</f>
        <v>1995</v>
      </c>
      <c r="C64" s="660">
        <f>Amnt_Deposited!G56</f>
        <v>108.33030000000001</v>
      </c>
      <c r="D64" s="661">
        <f>MCF!R63</f>
        <v>1</v>
      </c>
      <c r="E64" s="662">
        <f t="shared" si="1"/>
        <v>12.999636000000001</v>
      </c>
      <c r="F64" s="662">
        <f t="shared" si="0"/>
        <v>12.999636000000001</v>
      </c>
      <c r="G64" s="662">
        <f t="shared" si="2"/>
        <v>0</v>
      </c>
      <c r="H64" s="662">
        <f t="shared" si="3"/>
        <v>239.0164188683365</v>
      </c>
      <c r="I64" s="662">
        <f t="shared" si="4"/>
        <v>13.976097313870326</v>
      </c>
      <c r="J64" s="663">
        <f t="shared" si="5"/>
        <v>10.249138030171572</v>
      </c>
    </row>
    <row r="65" spans="2:10" x14ac:dyDescent="0.25">
      <c r="B65" s="659">
        <f>Amnt_Deposited!B57</f>
        <v>1996</v>
      </c>
      <c r="C65" s="660">
        <f>Amnt_Deposited!G57</f>
        <v>110.8683</v>
      </c>
      <c r="D65" s="661">
        <f>MCF!R64</f>
        <v>1</v>
      </c>
      <c r="E65" s="662">
        <f t="shared" si="1"/>
        <v>13.304195999999999</v>
      </c>
      <c r="F65" s="662">
        <f t="shared" si="0"/>
        <v>13.304195999999999</v>
      </c>
      <c r="G65" s="662">
        <f t="shared" si="2"/>
        <v>0</v>
      </c>
      <c r="H65" s="662">
        <f t="shared" si="3"/>
        <v>238.40138223451635</v>
      </c>
      <c r="I65" s="662">
        <f t="shared" si="4"/>
        <v>13.919232633820151</v>
      </c>
      <c r="J65" s="663">
        <f t="shared" si="5"/>
        <v>10.207437264801445</v>
      </c>
    </row>
    <row r="66" spans="2:10" x14ac:dyDescent="0.25">
      <c r="B66" s="659">
        <f>Amnt_Deposited!B58</f>
        <v>1997</v>
      </c>
      <c r="C66" s="660">
        <f>Amnt_Deposited!G58</f>
        <v>144.88200000000001</v>
      </c>
      <c r="D66" s="661">
        <f>MCF!R65</f>
        <v>1</v>
      </c>
      <c r="E66" s="662">
        <f t="shared" si="1"/>
        <v>17.385839999999998</v>
      </c>
      <c r="F66" s="662">
        <f t="shared" si="0"/>
        <v>17.385839999999998</v>
      </c>
      <c r="G66" s="662">
        <f t="shared" si="2"/>
        <v>0</v>
      </c>
      <c r="H66" s="662">
        <f t="shared" si="3"/>
        <v>241.90380654592948</v>
      </c>
      <c r="I66" s="662">
        <f t="shared" si="4"/>
        <v>13.88341568858686</v>
      </c>
      <c r="J66" s="663">
        <f t="shared" si="5"/>
        <v>10.181171504963697</v>
      </c>
    </row>
    <row r="67" spans="2:10" x14ac:dyDescent="0.25">
      <c r="B67" s="659">
        <f>Amnt_Deposited!B59</f>
        <v>1998</v>
      </c>
      <c r="C67" s="660">
        <f>Amnt_Deposited!G59</f>
        <v>147.90599999999998</v>
      </c>
      <c r="D67" s="661">
        <f>MCF!R66</f>
        <v>1</v>
      </c>
      <c r="E67" s="662">
        <f t="shared" si="1"/>
        <v>17.748719999999995</v>
      </c>
      <c r="F67" s="662">
        <f t="shared" si="0"/>
        <v>17.748719999999995</v>
      </c>
      <c r="G67" s="662">
        <f t="shared" si="2"/>
        <v>0</v>
      </c>
      <c r="H67" s="662">
        <f t="shared" si="3"/>
        <v>245.5651455439816</v>
      </c>
      <c r="I67" s="662">
        <f t="shared" si="4"/>
        <v>14.087381001947872</v>
      </c>
      <c r="J67" s="663">
        <f t="shared" si="5"/>
        <v>10.330746068095106</v>
      </c>
    </row>
    <row r="68" spans="2:10" x14ac:dyDescent="0.25">
      <c r="B68" s="659">
        <f>Amnt_Deposited!B60</f>
        <v>1999</v>
      </c>
      <c r="C68" s="660">
        <f>Amnt_Deposited!G60</f>
        <v>176.65200000000002</v>
      </c>
      <c r="D68" s="661">
        <f>MCF!R67</f>
        <v>1</v>
      </c>
      <c r="E68" s="662">
        <f t="shared" si="1"/>
        <v>21.198240000000002</v>
      </c>
      <c r="F68" s="662">
        <f t="shared" si="0"/>
        <v>21.198240000000002</v>
      </c>
      <c r="G68" s="662">
        <f t="shared" si="2"/>
        <v>0</v>
      </c>
      <c r="H68" s="662">
        <f t="shared" si="3"/>
        <v>252.46278475777598</v>
      </c>
      <c r="I68" s="662">
        <f t="shared" si="4"/>
        <v>14.300600786205615</v>
      </c>
      <c r="J68" s="663">
        <f t="shared" si="5"/>
        <v>10.487107243217451</v>
      </c>
    </row>
    <row r="69" spans="2:10" x14ac:dyDescent="0.25">
      <c r="B69" s="659">
        <f>Amnt_Deposited!B61</f>
        <v>2000</v>
      </c>
      <c r="C69" s="660">
        <f>Amnt_Deposited!G61</f>
        <v>165.81600000000003</v>
      </c>
      <c r="D69" s="661">
        <f>MCF!R68</f>
        <v>1</v>
      </c>
      <c r="E69" s="662">
        <f t="shared" si="1"/>
        <v>19.897920000000003</v>
      </c>
      <c r="F69" s="662">
        <f t="shared" si="0"/>
        <v>19.897920000000003</v>
      </c>
      <c r="G69" s="662">
        <f t="shared" si="2"/>
        <v>0</v>
      </c>
      <c r="H69" s="662">
        <f t="shared" si="3"/>
        <v>257.65841673478747</v>
      </c>
      <c r="I69" s="662">
        <f t="shared" si="4"/>
        <v>14.702288022988506</v>
      </c>
      <c r="J69" s="663">
        <f t="shared" si="5"/>
        <v>10.781677883524907</v>
      </c>
    </row>
    <row r="70" spans="2:10" x14ac:dyDescent="0.25">
      <c r="B70" s="659">
        <f>Amnt_Deposited!B62</f>
        <v>2001</v>
      </c>
      <c r="C70" s="660">
        <f>Amnt_Deposited!G62</f>
        <v>201.81600000000003</v>
      </c>
      <c r="D70" s="661">
        <f>MCF!R69</f>
        <v>1</v>
      </c>
      <c r="E70" s="662">
        <f t="shared" si="1"/>
        <v>24.217920000000003</v>
      </c>
      <c r="F70" s="662">
        <f t="shared" si="0"/>
        <v>24.217920000000003</v>
      </c>
      <c r="G70" s="662">
        <f t="shared" si="2"/>
        <v>0</v>
      </c>
      <c r="H70" s="662">
        <f t="shared" si="3"/>
        <v>266.87147866029312</v>
      </c>
      <c r="I70" s="662">
        <f t="shared" si="4"/>
        <v>15.004858074494363</v>
      </c>
      <c r="J70" s="663">
        <f t="shared" si="5"/>
        <v>11.003562587962534</v>
      </c>
    </row>
    <row r="71" spans="2:10" x14ac:dyDescent="0.25">
      <c r="B71" s="659">
        <f>Amnt_Deposited!B63</f>
        <v>2002</v>
      </c>
      <c r="C71" s="660">
        <f>Amnt_Deposited!G63</f>
        <v>203.47200000000001</v>
      </c>
      <c r="D71" s="661">
        <f>MCF!R70</f>
        <v>1</v>
      </c>
      <c r="E71" s="662">
        <f t="shared" si="1"/>
        <v>24.416640000000001</v>
      </c>
      <c r="F71" s="662">
        <f t="shared" si="0"/>
        <v>24.416640000000001</v>
      </c>
      <c r="G71" s="662">
        <f t="shared" si="2"/>
        <v>0</v>
      </c>
      <c r="H71" s="662">
        <f t="shared" si="3"/>
        <v>275.74673362744977</v>
      </c>
      <c r="I71" s="662">
        <f t="shared" si="4"/>
        <v>15.541385032843385</v>
      </c>
      <c r="J71" s="663">
        <f t="shared" si="5"/>
        <v>11.397015690751816</v>
      </c>
    </row>
    <row r="72" spans="2:10" x14ac:dyDescent="0.25">
      <c r="B72" s="659">
        <f>Amnt_Deposited!B64</f>
        <v>2003</v>
      </c>
      <c r="C72" s="660">
        <f>Amnt_Deposited!G64</f>
        <v>183.96</v>
      </c>
      <c r="D72" s="661">
        <f>MCF!R71</f>
        <v>1</v>
      </c>
      <c r="E72" s="662">
        <f t="shared" si="1"/>
        <v>22.075199999999999</v>
      </c>
      <c r="F72" s="662">
        <f t="shared" si="0"/>
        <v>22.075199999999999</v>
      </c>
      <c r="G72" s="662">
        <f t="shared" si="2"/>
        <v>0</v>
      </c>
      <c r="H72" s="662">
        <f t="shared" si="3"/>
        <v>281.76369398203531</v>
      </c>
      <c r="I72" s="662">
        <f t="shared" si="4"/>
        <v>16.058239645414464</v>
      </c>
      <c r="J72" s="663">
        <f t="shared" si="5"/>
        <v>11.776042406637274</v>
      </c>
    </row>
    <row r="73" spans="2:10" x14ac:dyDescent="0.25">
      <c r="B73" s="659">
        <f>Amnt_Deposited!B65</f>
        <v>2004</v>
      </c>
      <c r="C73" s="660">
        <f>Amnt_Deposited!G65</f>
        <v>185.97600000000003</v>
      </c>
      <c r="D73" s="661">
        <f>MCF!R72</f>
        <v>1</v>
      </c>
      <c r="E73" s="662">
        <f t="shared" si="1"/>
        <v>22.317120000000003</v>
      </c>
      <c r="F73" s="662">
        <f t="shared" si="0"/>
        <v>22.317120000000003</v>
      </c>
      <c r="G73" s="662">
        <f t="shared" si="2"/>
        <v>0</v>
      </c>
      <c r="H73" s="662">
        <f t="shared" si="3"/>
        <v>287.67217384396645</v>
      </c>
      <c r="I73" s="662">
        <f t="shared" si="4"/>
        <v>16.408640138068836</v>
      </c>
      <c r="J73" s="663">
        <f t="shared" si="5"/>
        <v>12.033002767917148</v>
      </c>
    </row>
    <row r="74" spans="2:10" x14ac:dyDescent="0.25">
      <c r="B74" s="659">
        <f>Amnt_Deposited!B66</f>
        <v>2005</v>
      </c>
      <c r="C74" s="660">
        <f>Amnt_Deposited!G66</f>
        <v>189.00000000000003</v>
      </c>
      <c r="D74" s="661">
        <f>MCF!R73</f>
        <v>1</v>
      </c>
      <c r="E74" s="662">
        <f t="shared" si="1"/>
        <v>22.680000000000003</v>
      </c>
      <c r="F74" s="662">
        <f t="shared" si="0"/>
        <v>22.680000000000003</v>
      </c>
      <c r="G74" s="662">
        <f t="shared" si="2"/>
        <v>0</v>
      </c>
      <c r="H74" s="662">
        <f t="shared" si="3"/>
        <v>293.59945062533001</v>
      </c>
      <c r="I74" s="662">
        <f t="shared" si="4"/>
        <v>16.752723218636472</v>
      </c>
      <c r="J74" s="663">
        <f t="shared" si="5"/>
        <v>12.285330360333413</v>
      </c>
    </row>
    <row r="75" spans="2:10" x14ac:dyDescent="0.25">
      <c r="B75" s="659">
        <f>Amnt_Deposited!B67</f>
        <v>2006</v>
      </c>
      <c r="C75" s="660">
        <f>Amnt_Deposited!G67</f>
        <v>193.41000000000003</v>
      </c>
      <c r="D75" s="661">
        <f>MCF!R74</f>
        <v>1</v>
      </c>
      <c r="E75" s="662">
        <f t="shared" si="1"/>
        <v>23.209200000000003</v>
      </c>
      <c r="F75" s="662">
        <f t="shared" si="0"/>
        <v>23.209200000000003</v>
      </c>
      <c r="G75" s="662">
        <f t="shared" si="2"/>
        <v>0</v>
      </c>
      <c r="H75" s="662">
        <f t="shared" si="3"/>
        <v>299.71074967875558</v>
      </c>
      <c r="I75" s="662">
        <f t="shared" si="4"/>
        <v>17.09790094657443</v>
      </c>
      <c r="J75" s="663">
        <f t="shared" si="5"/>
        <v>12.538460694154583</v>
      </c>
    </row>
    <row r="76" spans="2:10" x14ac:dyDescent="0.25">
      <c r="B76" s="659">
        <f>Amnt_Deposited!B68</f>
        <v>2007</v>
      </c>
      <c r="C76" s="660">
        <f>Amnt_Deposited!G68</f>
        <v>231.91200000000001</v>
      </c>
      <c r="D76" s="661">
        <f>MCF!R75</f>
        <v>1</v>
      </c>
      <c r="E76" s="662">
        <f t="shared" si="1"/>
        <v>27.829439999999998</v>
      </c>
      <c r="F76" s="662">
        <f t="shared" si="0"/>
        <v>27.829439999999998</v>
      </c>
      <c r="G76" s="662">
        <f t="shared" si="2"/>
        <v>0</v>
      </c>
      <c r="H76" s="662">
        <f t="shared" si="3"/>
        <v>310.08639438139875</v>
      </c>
      <c r="I76" s="662">
        <f t="shared" si="4"/>
        <v>17.453795297356809</v>
      </c>
      <c r="J76" s="663">
        <f t="shared" si="5"/>
        <v>12.799449884728327</v>
      </c>
    </row>
    <row r="77" spans="2:10" x14ac:dyDescent="0.25">
      <c r="B77" s="659">
        <f>Amnt_Deposited!B69</f>
        <v>2008</v>
      </c>
      <c r="C77" s="660">
        <f>Amnt_Deposited!G69</f>
        <v>208.78200000000001</v>
      </c>
      <c r="D77" s="661">
        <f>MCF!R76</f>
        <v>1</v>
      </c>
      <c r="E77" s="662">
        <f t="shared" si="1"/>
        <v>25.053840000000001</v>
      </c>
      <c r="F77" s="662">
        <f t="shared" si="0"/>
        <v>25.053840000000001</v>
      </c>
      <c r="G77" s="662">
        <f t="shared" si="2"/>
        <v>0</v>
      </c>
      <c r="H77" s="662">
        <f t="shared" si="3"/>
        <v>317.08220857541937</v>
      </c>
      <c r="I77" s="662">
        <f t="shared" si="4"/>
        <v>18.058025805979351</v>
      </c>
      <c r="J77" s="663">
        <f t="shared" si="5"/>
        <v>13.242552257718192</v>
      </c>
    </row>
    <row r="78" spans="2:10" x14ac:dyDescent="0.25">
      <c r="B78" s="659">
        <f>Amnt_Deposited!B70</f>
        <v>2009</v>
      </c>
      <c r="C78" s="660">
        <f>Amnt_Deposited!G70</f>
        <v>246.52799999999999</v>
      </c>
      <c r="D78" s="661">
        <f>MCF!R77</f>
        <v>1</v>
      </c>
      <c r="E78" s="662">
        <f t="shared" si="1"/>
        <v>29.583359999999999</v>
      </c>
      <c r="F78" s="662">
        <f t="shared" si="0"/>
        <v>29.583359999999999</v>
      </c>
      <c r="G78" s="662">
        <f t="shared" si="2"/>
        <v>0</v>
      </c>
      <c r="H78" s="662">
        <f t="shared" si="3"/>
        <v>328.2001382668933</v>
      </c>
      <c r="I78" s="662">
        <f t="shared" si="4"/>
        <v>18.465430308526077</v>
      </c>
      <c r="J78" s="663">
        <f t="shared" si="5"/>
        <v>13.54131555958579</v>
      </c>
    </row>
    <row r="79" spans="2:10" x14ac:dyDescent="0.25">
      <c r="B79" s="659">
        <f>Amnt_Deposited!B71</f>
        <v>2010</v>
      </c>
      <c r="C79" s="660">
        <f>Amnt_Deposited!G71</f>
        <v>245.232</v>
      </c>
      <c r="D79" s="661">
        <f>MCF!R78</f>
        <v>1</v>
      </c>
      <c r="E79" s="662">
        <f t="shared" si="1"/>
        <v>29.42784</v>
      </c>
      <c r="F79" s="662">
        <f t="shared" si="0"/>
        <v>29.42784</v>
      </c>
      <c r="G79" s="662">
        <f t="shared" si="2"/>
        <v>0</v>
      </c>
      <c r="H79" s="662">
        <f t="shared" si="3"/>
        <v>338.5150901372067</v>
      </c>
      <c r="I79" s="662">
        <f t="shared" si="4"/>
        <v>19.112888129686592</v>
      </c>
      <c r="J79" s="663">
        <f t="shared" si="5"/>
        <v>14.016117961770167</v>
      </c>
    </row>
    <row r="80" spans="2:10" x14ac:dyDescent="0.25">
      <c r="B80" s="659">
        <f>Amnt_Deposited!B72</f>
        <v>2011</v>
      </c>
      <c r="C80" s="660">
        <f>Amnt_Deposited!G72</f>
        <v>229.32</v>
      </c>
      <c r="D80" s="661">
        <f>MCF!R79</f>
        <v>1</v>
      </c>
      <c r="E80" s="662">
        <f t="shared" si="1"/>
        <v>27.5184</v>
      </c>
      <c r="F80" s="662">
        <f t="shared" si="0"/>
        <v>27.5184</v>
      </c>
      <c r="G80" s="662">
        <f t="shared" si="2"/>
        <v>0</v>
      </c>
      <c r="H80" s="662">
        <f t="shared" si="3"/>
        <v>346.31990597429638</v>
      </c>
      <c r="I80" s="662">
        <f t="shared" si="4"/>
        <v>19.713584162910319</v>
      </c>
      <c r="J80" s="663">
        <f t="shared" si="5"/>
        <v>14.456628386134234</v>
      </c>
    </row>
    <row r="81" spans="2:10" x14ac:dyDescent="0.25">
      <c r="B81" s="659">
        <f>Amnt_Deposited!B73</f>
        <v>2012</v>
      </c>
      <c r="C81" s="660">
        <f>Amnt_Deposited!G73</f>
        <v>214.63200000000001</v>
      </c>
      <c r="D81" s="661">
        <f>MCF!R80</f>
        <v>1</v>
      </c>
      <c r="E81" s="662">
        <f t="shared" si="1"/>
        <v>25.755839999999999</v>
      </c>
      <c r="F81" s="662">
        <f t="shared" si="0"/>
        <v>25.755839999999999</v>
      </c>
      <c r="G81" s="662">
        <f t="shared" si="2"/>
        <v>0</v>
      </c>
      <c r="H81" s="662">
        <f t="shared" si="3"/>
        <v>351.90764472082407</v>
      </c>
      <c r="I81" s="662">
        <f t="shared" si="4"/>
        <v>20.168101253472276</v>
      </c>
      <c r="J81" s="663">
        <f t="shared" si="5"/>
        <v>14.789940919213004</v>
      </c>
    </row>
    <row r="82" spans="2:10" x14ac:dyDescent="0.25">
      <c r="B82" s="659">
        <f>Amnt_Deposited!B74</f>
        <v>2013</v>
      </c>
      <c r="C82" s="660">
        <f>Amnt_Deposited!G74</f>
        <v>200.59200000000001</v>
      </c>
      <c r="D82" s="661">
        <f>MCF!R81</f>
        <v>1</v>
      </c>
      <c r="E82" s="662">
        <f t="shared" si="1"/>
        <v>24.07104</v>
      </c>
      <c r="F82" s="662">
        <f t="shared" si="0"/>
        <v>24.07104</v>
      </c>
      <c r="G82" s="662">
        <f t="shared" si="2"/>
        <v>0</v>
      </c>
      <c r="H82" s="662">
        <f t="shared" si="3"/>
        <v>355.48517889523839</v>
      </c>
      <c r="I82" s="662">
        <f t="shared" si="4"/>
        <v>20.493505825585682</v>
      </c>
      <c r="J82" s="663">
        <f t="shared" si="5"/>
        <v>15.028570938762835</v>
      </c>
    </row>
    <row r="83" spans="2:10" x14ac:dyDescent="0.25">
      <c r="B83" s="659">
        <f>Amnt_Deposited!B75</f>
        <v>2014</v>
      </c>
      <c r="C83" s="660">
        <f>Amnt_Deposited!G75</f>
        <v>193.82400000000001</v>
      </c>
      <c r="D83" s="661">
        <f>MCF!R82</f>
        <v>1</v>
      </c>
      <c r="E83" s="662">
        <f t="shared" si="1"/>
        <v>23.258880000000001</v>
      </c>
      <c r="F83" s="662">
        <f t="shared" ref="F83:F109" si="6">E83*$I$12</f>
        <v>23.258880000000001</v>
      </c>
      <c r="G83" s="662">
        <f t="shared" si="2"/>
        <v>0</v>
      </c>
      <c r="H83" s="662">
        <f t="shared" si="3"/>
        <v>358.0422136983874</v>
      </c>
      <c r="I83" s="662">
        <f t="shared" si="4"/>
        <v>20.701845196850993</v>
      </c>
      <c r="J83" s="663">
        <f t="shared" si="5"/>
        <v>15.181353144357395</v>
      </c>
    </row>
    <row r="84" spans="2:10" x14ac:dyDescent="0.25">
      <c r="B84" s="659">
        <f>Amnt_Deposited!B76</f>
        <v>2015</v>
      </c>
      <c r="C84" s="660">
        <f>Amnt_Deposited!G76</f>
        <v>185.04</v>
      </c>
      <c r="D84" s="661">
        <f>MCF!R83</f>
        <v>1</v>
      </c>
      <c r="E84" s="662">
        <f t="shared" ref="E84:E109" si="7">C84*$I$6*DOCF*D84</f>
        <v>22.204799999999999</v>
      </c>
      <c r="F84" s="662">
        <f t="shared" si="6"/>
        <v>22.204799999999999</v>
      </c>
      <c r="G84" s="662">
        <f t="shared" ref="G84:G109" si="8">E84*(1-$I$12)</f>
        <v>0</v>
      </c>
      <c r="H84" s="662">
        <f t="shared" ref="H84:H109" si="9">F84+H83*$I$10</f>
        <v>359.39625838713368</v>
      </c>
      <c r="I84" s="662">
        <f t="shared" ref="I84:I109" si="10">H83*(1-$I$10)+G84</f>
        <v>20.850755311253682</v>
      </c>
      <c r="J84" s="663">
        <f t="shared" si="5"/>
        <v>15.290553894919366</v>
      </c>
    </row>
    <row r="85" spans="2:10" x14ac:dyDescent="0.25">
      <c r="B85" s="659">
        <f>Amnt_Deposited!B77</f>
        <v>2016</v>
      </c>
      <c r="C85" s="660">
        <f>Amnt_Deposited!G77</f>
        <v>179.928</v>
      </c>
      <c r="D85" s="661">
        <f>MCF!R84</f>
        <v>1</v>
      </c>
      <c r="E85" s="662">
        <f t="shared" si="7"/>
        <v>21.591359999999998</v>
      </c>
      <c r="F85" s="662">
        <f t="shared" si="6"/>
        <v>21.591359999999998</v>
      </c>
      <c r="G85" s="662">
        <f t="shared" si="8"/>
        <v>0</v>
      </c>
      <c r="H85" s="662">
        <f t="shared" si="9"/>
        <v>360.05800965188308</v>
      </c>
      <c r="I85" s="662">
        <f t="shared" si="10"/>
        <v>20.929608735250593</v>
      </c>
      <c r="J85" s="663">
        <f t="shared" ref="J85:J109" si="11">I85*CH4_fraction*conv</f>
        <v>15.34837973918377</v>
      </c>
    </row>
    <row r="86" spans="2:10" x14ac:dyDescent="0.25">
      <c r="B86" s="659">
        <f>Amnt_Deposited!B78</f>
        <v>2017</v>
      </c>
      <c r="C86" s="660">
        <f>Amnt_Deposited!G78</f>
        <v>179.928</v>
      </c>
      <c r="D86" s="661">
        <f>MCF!R85</f>
        <v>1</v>
      </c>
      <c r="E86" s="662">
        <f t="shared" ref="E86:E109" si="12">C86*$I$6*DOCF*D86</f>
        <v>21.591359999999998</v>
      </c>
      <c r="F86" s="662">
        <f t="shared" ref="F86:F109" si="13">E86*$I$12</f>
        <v>21.591359999999998</v>
      </c>
      <c r="G86" s="662">
        <f t="shared" ref="G86:G109" si="14">E86*(1-$I$12)</f>
        <v>0</v>
      </c>
      <c r="H86" s="662">
        <f t="shared" ref="H86:H109" si="15">F86+H85*$I$10</f>
        <v>360.68122352307859</v>
      </c>
      <c r="I86" s="662">
        <f t="shared" ref="I86:I109" si="16">H85*(1-$I$10)+G86</f>
        <v>20.968146128804488</v>
      </c>
      <c r="J86" s="663">
        <f t="shared" ref="J86:J109" si="17">I86*CH4_fraction*conv</f>
        <v>15.376640494456625</v>
      </c>
    </row>
    <row r="87" spans="2:10" x14ac:dyDescent="0.25">
      <c r="B87" s="659">
        <f>Amnt_Deposited!B79</f>
        <v>2018</v>
      </c>
      <c r="C87" s="660">
        <f>Amnt_Deposited!G79</f>
        <v>179.928</v>
      </c>
      <c r="D87" s="661">
        <f>MCF!R86</f>
        <v>1</v>
      </c>
      <c r="E87" s="662">
        <f t="shared" si="12"/>
        <v>21.591359999999998</v>
      </c>
      <c r="F87" s="662">
        <f t="shared" si="13"/>
        <v>21.591359999999998</v>
      </c>
      <c r="G87" s="662">
        <f t="shared" si="14"/>
        <v>0</v>
      </c>
      <c r="H87" s="662">
        <f t="shared" si="15"/>
        <v>361.26814424380825</v>
      </c>
      <c r="I87" s="662">
        <f t="shared" si="16"/>
        <v>21.004439279270322</v>
      </c>
      <c r="J87" s="663">
        <f t="shared" si="17"/>
        <v>15.403255471464904</v>
      </c>
    </row>
    <row r="88" spans="2:10" x14ac:dyDescent="0.25">
      <c r="B88" s="659">
        <f>Amnt_Deposited!B80</f>
        <v>2019</v>
      </c>
      <c r="C88" s="660">
        <f>Amnt_Deposited!G80</f>
        <v>179.928</v>
      </c>
      <c r="D88" s="661">
        <f>MCF!R87</f>
        <v>1</v>
      </c>
      <c r="E88" s="662">
        <f t="shared" si="12"/>
        <v>21.591359999999998</v>
      </c>
      <c r="F88" s="662">
        <f t="shared" si="13"/>
        <v>21.591359999999998</v>
      </c>
      <c r="G88" s="662">
        <f t="shared" si="14"/>
        <v>0</v>
      </c>
      <c r="H88" s="662">
        <f t="shared" si="15"/>
        <v>361.82088536261716</v>
      </c>
      <c r="I88" s="662">
        <f t="shared" si="16"/>
        <v>21.038618881191084</v>
      </c>
      <c r="J88" s="663">
        <f t="shared" si="17"/>
        <v>15.428320512873462</v>
      </c>
    </row>
    <row r="89" spans="2:10" x14ac:dyDescent="0.25">
      <c r="B89" s="659">
        <f>Amnt_Deposited!B81</f>
        <v>2020</v>
      </c>
      <c r="C89" s="660">
        <f>Amnt_Deposited!G81</f>
        <v>179.928</v>
      </c>
      <c r="D89" s="661">
        <f>MCF!R88</f>
        <v>1</v>
      </c>
      <c r="E89" s="662">
        <f t="shared" si="12"/>
        <v>21.591359999999998</v>
      </c>
      <c r="F89" s="662">
        <f t="shared" si="13"/>
        <v>21.591359999999998</v>
      </c>
      <c r="G89" s="662">
        <f t="shared" si="14"/>
        <v>0</v>
      </c>
      <c r="H89" s="662">
        <f t="shared" si="15"/>
        <v>362.34143734456507</v>
      </c>
      <c r="I89" s="662">
        <f t="shared" si="16"/>
        <v>21.070808018052087</v>
      </c>
      <c r="J89" s="663">
        <f t="shared" si="17"/>
        <v>15.451925879904865</v>
      </c>
    </row>
    <row r="90" spans="2:10" x14ac:dyDescent="0.25">
      <c r="B90" s="659">
        <f>Amnt_Deposited!B82</f>
        <v>2021</v>
      </c>
      <c r="C90" s="660">
        <f>Amnt_Deposited!G82</f>
        <v>179.928</v>
      </c>
      <c r="D90" s="661">
        <f>MCF!R89</f>
        <v>1</v>
      </c>
      <c r="E90" s="662">
        <f t="shared" si="12"/>
        <v>21.591359999999998</v>
      </c>
      <c r="F90" s="662">
        <f t="shared" si="13"/>
        <v>21.591359999999998</v>
      </c>
      <c r="G90" s="662">
        <f t="shared" si="14"/>
        <v>0</v>
      </c>
      <c r="H90" s="662">
        <f t="shared" si="15"/>
        <v>362.83167473905058</v>
      </c>
      <c r="I90" s="662">
        <f t="shared" si="16"/>
        <v>21.101122605514465</v>
      </c>
      <c r="J90" s="663">
        <f t="shared" si="17"/>
        <v>15.474156577377276</v>
      </c>
    </row>
    <row r="91" spans="2:10" x14ac:dyDescent="0.25">
      <c r="B91" s="659">
        <f>Amnt_Deposited!B83</f>
        <v>2022</v>
      </c>
      <c r="C91" s="660">
        <f>Amnt_Deposited!G83</f>
        <v>179.928</v>
      </c>
      <c r="D91" s="661">
        <f>MCF!R90</f>
        <v>1</v>
      </c>
      <c r="E91" s="662">
        <f t="shared" si="12"/>
        <v>21.591359999999998</v>
      </c>
      <c r="F91" s="662">
        <f t="shared" si="13"/>
        <v>21.591359999999998</v>
      </c>
      <c r="G91" s="662">
        <f t="shared" si="14"/>
        <v>0</v>
      </c>
      <c r="H91" s="662">
        <f t="shared" si="15"/>
        <v>363.29336293021385</v>
      </c>
      <c r="I91" s="662">
        <f t="shared" si="16"/>
        <v>21.129671808836772</v>
      </c>
      <c r="J91" s="663">
        <f t="shared" si="17"/>
        <v>15.495092659813633</v>
      </c>
    </row>
    <row r="92" spans="2:10" x14ac:dyDescent="0.25">
      <c r="B92" s="659">
        <f>Amnt_Deposited!B84</f>
        <v>2023</v>
      </c>
      <c r="C92" s="660">
        <f>Amnt_Deposited!G84</f>
        <v>179.928</v>
      </c>
      <c r="D92" s="661">
        <f>MCF!R91</f>
        <v>1</v>
      </c>
      <c r="E92" s="662">
        <f t="shared" si="12"/>
        <v>21.591359999999998</v>
      </c>
      <c r="F92" s="662">
        <f t="shared" si="13"/>
        <v>21.591359999999998</v>
      </c>
      <c r="G92" s="662">
        <f t="shared" si="14"/>
        <v>0</v>
      </c>
      <c r="H92" s="662">
        <f t="shared" si="15"/>
        <v>363.72816449422606</v>
      </c>
      <c r="I92" s="662">
        <f t="shared" si="16"/>
        <v>21.156558435987808</v>
      </c>
      <c r="J92" s="663">
        <f t="shared" si="17"/>
        <v>15.514809519724395</v>
      </c>
    </row>
    <row r="93" spans="2:10" x14ac:dyDescent="0.25">
      <c r="B93" s="659">
        <f>Amnt_Deposited!B85</f>
        <v>2024</v>
      </c>
      <c r="C93" s="660">
        <f>Amnt_Deposited!G85</f>
        <v>179.928</v>
      </c>
      <c r="D93" s="661">
        <f>MCF!R92</f>
        <v>1</v>
      </c>
      <c r="E93" s="662">
        <f t="shared" si="12"/>
        <v>21.591359999999998</v>
      </c>
      <c r="F93" s="662">
        <f t="shared" si="13"/>
        <v>21.591359999999998</v>
      </c>
      <c r="G93" s="662">
        <f t="shared" si="14"/>
        <v>0</v>
      </c>
      <c r="H93" s="662">
        <f t="shared" si="15"/>
        <v>364.13764518635969</v>
      </c>
      <c r="I93" s="662">
        <f t="shared" si="16"/>
        <v>21.18187930786636</v>
      </c>
      <c r="J93" s="663">
        <f t="shared" si="17"/>
        <v>15.533378159102</v>
      </c>
    </row>
    <row r="94" spans="2:10" x14ac:dyDescent="0.25">
      <c r="B94" s="659">
        <f>Amnt_Deposited!B86</f>
        <v>2025</v>
      </c>
      <c r="C94" s="660">
        <f>Amnt_Deposited!G86</f>
        <v>179.928</v>
      </c>
      <c r="D94" s="661">
        <f>MCF!R93</f>
        <v>1</v>
      </c>
      <c r="E94" s="662">
        <f t="shared" si="12"/>
        <v>21.591359999999998</v>
      </c>
      <c r="F94" s="662">
        <f t="shared" si="13"/>
        <v>21.591359999999998</v>
      </c>
      <c r="G94" s="662">
        <f t="shared" si="14"/>
        <v>0</v>
      </c>
      <c r="H94" s="662">
        <f t="shared" si="15"/>
        <v>364.52327957939872</v>
      </c>
      <c r="I94" s="662">
        <f t="shared" si="16"/>
        <v>21.205725606961007</v>
      </c>
      <c r="J94" s="663">
        <f t="shared" si="17"/>
        <v>15.550865445104741</v>
      </c>
    </row>
    <row r="95" spans="2:10" x14ac:dyDescent="0.25">
      <c r="B95" s="659">
        <f>Amnt_Deposited!B87</f>
        <v>2026</v>
      </c>
      <c r="C95" s="660">
        <f>Amnt_Deposited!G87</f>
        <v>179.928</v>
      </c>
      <c r="D95" s="661">
        <f>MCF!R94</f>
        <v>1</v>
      </c>
      <c r="E95" s="662">
        <f t="shared" si="12"/>
        <v>21.591359999999998</v>
      </c>
      <c r="F95" s="662">
        <f t="shared" si="13"/>
        <v>21.591359999999998</v>
      </c>
      <c r="G95" s="662">
        <f t="shared" si="14"/>
        <v>0</v>
      </c>
      <c r="H95" s="662">
        <f t="shared" si="15"/>
        <v>364.88645637369314</v>
      </c>
      <c r="I95" s="662">
        <f t="shared" si="16"/>
        <v>21.228183205705587</v>
      </c>
      <c r="J95" s="663">
        <f t="shared" si="17"/>
        <v>15.567334350850764</v>
      </c>
    </row>
    <row r="96" spans="2:10" x14ac:dyDescent="0.25">
      <c r="B96" s="659">
        <f>Amnt_Deposited!B88</f>
        <v>2027</v>
      </c>
      <c r="C96" s="660">
        <f>Amnt_Deposited!G88</f>
        <v>179.928</v>
      </c>
      <c r="D96" s="661">
        <f>MCF!R95</f>
        <v>1</v>
      </c>
      <c r="E96" s="662">
        <f t="shared" si="12"/>
        <v>21.591359999999998</v>
      </c>
      <c r="F96" s="662">
        <f t="shared" si="13"/>
        <v>21.591359999999998</v>
      </c>
      <c r="G96" s="662">
        <f t="shared" si="14"/>
        <v>0</v>
      </c>
      <c r="H96" s="662">
        <f t="shared" si="15"/>
        <v>365.22848339798043</v>
      </c>
      <c r="I96" s="662">
        <f t="shared" si="16"/>
        <v>21.249332975712701</v>
      </c>
      <c r="J96" s="663">
        <f t="shared" si="17"/>
        <v>15.582844182189314</v>
      </c>
    </row>
    <row r="97" spans="2:10" x14ac:dyDescent="0.25">
      <c r="B97" s="659">
        <f>Amnt_Deposited!B89</f>
        <v>2028</v>
      </c>
      <c r="C97" s="660">
        <f>Amnt_Deposited!G89</f>
        <v>179.928</v>
      </c>
      <c r="D97" s="661">
        <f>MCF!R96</f>
        <v>1</v>
      </c>
      <c r="E97" s="662">
        <f t="shared" si="12"/>
        <v>21.591359999999998</v>
      </c>
      <c r="F97" s="662">
        <f t="shared" si="13"/>
        <v>21.591359999999998</v>
      </c>
      <c r="G97" s="662">
        <f t="shared" si="14"/>
        <v>0</v>
      </c>
      <c r="H97" s="662">
        <f t="shared" si="15"/>
        <v>365.55059231898156</v>
      </c>
      <c r="I97" s="662">
        <f t="shared" si="16"/>
        <v>21.269251078998863</v>
      </c>
      <c r="J97" s="663">
        <f t="shared" si="17"/>
        <v>15.597450791265835</v>
      </c>
    </row>
    <row r="98" spans="2:10" x14ac:dyDescent="0.25">
      <c r="B98" s="659">
        <f>Amnt_Deposited!B90</f>
        <v>2029</v>
      </c>
      <c r="C98" s="660">
        <f>Amnt_Deposited!G90</f>
        <v>179.928</v>
      </c>
      <c r="D98" s="661">
        <f>MCF!R97</f>
        <v>1</v>
      </c>
      <c r="E98" s="662">
        <f t="shared" si="12"/>
        <v>21.591359999999998</v>
      </c>
      <c r="F98" s="662">
        <f t="shared" si="13"/>
        <v>21.591359999999998</v>
      </c>
      <c r="G98" s="662">
        <f t="shared" si="14"/>
        <v>0</v>
      </c>
      <c r="H98" s="662">
        <f t="shared" si="15"/>
        <v>365.85394307673153</v>
      </c>
      <c r="I98" s="662">
        <f t="shared" si="16"/>
        <v>21.288009242250038</v>
      </c>
      <c r="J98" s="663">
        <f t="shared" si="17"/>
        <v>15.611206777650027</v>
      </c>
    </row>
    <row r="99" spans="2:10" x14ac:dyDescent="0.25">
      <c r="B99" s="659">
        <f>Amnt_Deposited!B91</f>
        <v>2030</v>
      </c>
      <c r="C99" s="660">
        <f>Amnt_Deposited!G91</f>
        <v>179.928</v>
      </c>
      <c r="D99" s="661">
        <f>MCF!R98</f>
        <v>1</v>
      </c>
      <c r="E99" s="662">
        <f t="shared" si="12"/>
        <v>21.591359999999998</v>
      </c>
      <c r="F99" s="662">
        <f t="shared" si="13"/>
        <v>21.591359999999998</v>
      </c>
      <c r="G99" s="662">
        <f t="shared" si="14"/>
        <v>0</v>
      </c>
      <c r="H99" s="662">
        <f t="shared" si="15"/>
        <v>366.13962806161635</v>
      </c>
      <c r="I99" s="662">
        <f t="shared" si="16"/>
        <v>21.305675015115181</v>
      </c>
      <c r="J99" s="663">
        <f t="shared" si="17"/>
        <v>15.624161677751134</v>
      </c>
    </row>
    <row r="100" spans="2:10" x14ac:dyDescent="0.25">
      <c r="B100" s="659">
        <f>Amnt_Deposited!B92</f>
        <v>2031</v>
      </c>
      <c r="C100" s="660">
        <f>Amnt_Deposited!G92</f>
        <v>179.928</v>
      </c>
      <c r="D100" s="661">
        <f>MCF!R99</f>
        <v>1</v>
      </c>
      <c r="E100" s="662">
        <f t="shared" si="12"/>
        <v>21.591359999999998</v>
      </c>
      <c r="F100" s="662">
        <f t="shared" si="13"/>
        <v>21.591359999999998</v>
      </c>
      <c r="G100" s="662">
        <f t="shared" si="14"/>
        <v>0</v>
      </c>
      <c r="H100" s="662">
        <f t="shared" si="15"/>
        <v>366.40867604815844</v>
      </c>
      <c r="I100" s="662">
        <f t="shared" si="16"/>
        <v>21.322312013457925</v>
      </c>
      <c r="J100" s="663">
        <f t="shared" si="17"/>
        <v>15.636362143202479</v>
      </c>
    </row>
    <row r="101" spans="2:10" x14ac:dyDescent="0.25">
      <c r="B101" s="659">
        <f>Amnt_Deposited!B93</f>
        <v>2032</v>
      </c>
      <c r="C101" s="660">
        <f>Amnt_Deposited!G93</f>
        <v>179.928</v>
      </c>
      <c r="D101" s="661">
        <f>MCF!R100</f>
        <v>1</v>
      </c>
      <c r="E101" s="662">
        <f t="shared" si="12"/>
        <v>21.591359999999998</v>
      </c>
      <c r="F101" s="662">
        <f t="shared" si="13"/>
        <v>21.591359999999998</v>
      </c>
      <c r="G101" s="662">
        <f t="shared" si="14"/>
        <v>0</v>
      </c>
      <c r="H101" s="662">
        <f t="shared" si="15"/>
        <v>366.66205589971605</v>
      </c>
      <c r="I101" s="662">
        <f t="shared" si="16"/>
        <v>21.337980148442423</v>
      </c>
      <c r="J101" s="663">
        <f t="shared" si="17"/>
        <v>15.647852108857778</v>
      </c>
    </row>
    <row r="102" spans="2:10" x14ac:dyDescent="0.25">
      <c r="B102" s="659">
        <f>Amnt_Deposited!B94</f>
        <v>2033</v>
      </c>
      <c r="C102" s="660">
        <f>Amnt_Deposited!G94</f>
        <v>179.928</v>
      </c>
      <c r="D102" s="661">
        <f>MCF!R101</f>
        <v>1</v>
      </c>
      <c r="E102" s="662">
        <f t="shared" si="12"/>
        <v>21.591359999999998</v>
      </c>
      <c r="F102" s="662">
        <f t="shared" si="13"/>
        <v>21.591359999999998</v>
      </c>
      <c r="G102" s="662">
        <f t="shared" si="14"/>
        <v>0</v>
      </c>
      <c r="H102" s="662">
        <f t="shared" si="15"/>
        <v>366.90068005743785</v>
      </c>
      <c r="I102" s="662">
        <f t="shared" si="16"/>
        <v>21.352735842278232</v>
      </c>
      <c r="J102" s="663">
        <f t="shared" si="17"/>
        <v>15.658672951004037</v>
      </c>
    </row>
    <row r="103" spans="2:10" x14ac:dyDescent="0.25">
      <c r="B103" s="659">
        <f>Amnt_Deposited!B95</f>
        <v>2034</v>
      </c>
      <c r="C103" s="660">
        <f>Amnt_Deposited!G95</f>
        <v>179.928</v>
      </c>
      <c r="D103" s="661">
        <f>MCF!R102</f>
        <v>1</v>
      </c>
      <c r="E103" s="662">
        <f t="shared" si="12"/>
        <v>21.591359999999998</v>
      </c>
      <c r="F103" s="662">
        <f t="shared" si="13"/>
        <v>21.591359999999998</v>
      </c>
      <c r="G103" s="662">
        <f t="shared" si="14"/>
        <v>0</v>
      </c>
      <c r="H103" s="662">
        <f t="shared" si="15"/>
        <v>367.12540782603662</v>
      </c>
      <c r="I103" s="662">
        <f t="shared" si="16"/>
        <v>21.366632231401226</v>
      </c>
      <c r="J103" s="663">
        <f t="shared" si="17"/>
        <v>15.6688636363609</v>
      </c>
    </row>
    <row r="104" spans="2:10" x14ac:dyDescent="0.25">
      <c r="B104" s="659">
        <f>Amnt_Deposited!B96</f>
        <v>2035</v>
      </c>
      <c r="C104" s="660">
        <f>Amnt_Deposited!G96</f>
        <v>179.928</v>
      </c>
      <c r="D104" s="661">
        <f>MCF!R103</f>
        <v>1</v>
      </c>
      <c r="E104" s="662">
        <f t="shared" si="12"/>
        <v>21.591359999999998</v>
      </c>
      <c r="F104" s="662">
        <f t="shared" si="13"/>
        <v>21.591359999999998</v>
      </c>
      <c r="G104" s="662">
        <f t="shared" si="14"/>
        <v>0</v>
      </c>
      <c r="H104" s="662">
        <f t="shared" si="15"/>
        <v>367.3370484682145</v>
      </c>
      <c r="I104" s="662">
        <f t="shared" si="16"/>
        <v>21.379719357822147</v>
      </c>
      <c r="J104" s="663">
        <f t="shared" si="17"/>
        <v>15.678460862402909</v>
      </c>
    </row>
    <row r="105" spans="2:10" x14ac:dyDescent="0.25">
      <c r="B105" s="659">
        <f>Amnt_Deposited!B97</f>
        <v>2036</v>
      </c>
      <c r="C105" s="660">
        <f>Amnt_Deposited!G97</f>
        <v>179.928</v>
      </c>
      <c r="D105" s="661">
        <f>MCF!R104</f>
        <v>1</v>
      </c>
      <c r="E105" s="662">
        <f t="shared" si="12"/>
        <v>21.591359999999998</v>
      </c>
      <c r="F105" s="662">
        <f t="shared" si="13"/>
        <v>21.591359999999998</v>
      </c>
      <c r="G105" s="662">
        <f t="shared" si="14"/>
        <v>0</v>
      </c>
      <c r="H105" s="662">
        <f t="shared" si="15"/>
        <v>367.5363641188826</v>
      </c>
      <c r="I105" s="662">
        <f t="shared" si="16"/>
        <v>21.392044349331908</v>
      </c>
      <c r="J105" s="663">
        <f t="shared" si="17"/>
        <v>15.687499189510065</v>
      </c>
    </row>
    <row r="106" spans="2:10" x14ac:dyDescent="0.25">
      <c r="B106" s="659">
        <f>Amnt_Deposited!B98</f>
        <v>2037</v>
      </c>
      <c r="C106" s="660">
        <f>Amnt_Deposited!G98</f>
        <v>179.928</v>
      </c>
      <c r="D106" s="661">
        <f>MCF!R105</f>
        <v>1</v>
      </c>
      <c r="E106" s="662">
        <f t="shared" si="12"/>
        <v>21.591359999999998</v>
      </c>
      <c r="F106" s="662">
        <f t="shared" si="13"/>
        <v>21.591359999999998</v>
      </c>
      <c r="G106" s="662">
        <f t="shared" si="14"/>
        <v>0</v>
      </c>
      <c r="H106" s="662">
        <f t="shared" si="15"/>
        <v>367.72407252967008</v>
      </c>
      <c r="I106" s="662">
        <f t="shared" si="16"/>
        <v>21.403651589212522</v>
      </c>
      <c r="J106" s="663">
        <f t="shared" si="17"/>
        <v>15.696011165422519</v>
      </c>
    </row>
    <row r="107" spans="2:10" x14ac:dyDescent="0.25">
      <c r="B107" s="659">
        <f>Amnt_Deposited!B99</f>
        <v>2038</v>
      </c>
      <c r="C107" s="660">
        <f>Amnt_Deposited!G99</f>
        <v>179.928</v>
      </c>
      <c r="D107" s="661">
        <f>MCF!R106</f>
        <v>1</v>
      </c>
      <c r="E107" s="662">
        <f t="shared" si="12"/>
        <v>21.591359999999998</v>
      </c>
      <c r="F107" s="662">
        <f t="shared" si="13"/>
        <v>21.591359999999998</v>
      </c>
      <c r="G107" s="662">
        <f t="shared" si="14"/>
        <v>0</v>
      </c>
      <c r="H107" s="662">
        <f t="shared" si="15"/>
        <v>367.90084965360518</v>
      </c>
      <c r="I107" s="662">
        <f t="shared" si="16"/>
        <v>21.414582876064891</v>
      </c>
      <c r="J107" s="663">
        <f t="shared" si="17"/>
        <v>15.704027442447586</v>
      </c>
    </row>
    <row r="108" spans="2:10" x14ac:dyDescent="0.25">
      <c r="B108" s="659">
        <f>Amnt_Deposited!B100</f>
        <v>2039</v>
      </c>
      <c r="C108" s="660">
        <f>Amnt_Deposited!G100</f>
        <v>179.928</v>
      </c>
      <c r="D108" s="661">
        <f>MCF!R107</f>
        <v>1</v>
      </c>
      <c r="E108" s="662">
        <f t="shared" si="12"/>
        <v>21.591359999999998</v>
      </c>
      <c r="F108" s="662">
        <f t="shared" si="13"/>
        <v>21.591359999999998</v>
      </c>
      <c r="G108" s="662">
        <f t="shared" si="14"/>
        <v>0</v>
      </c>
      <c r="H108" s="662">
        <f t="shared" si="15"/>
        <v>368.0673320792763</v>
      </c>
      <c r="I108" s="662">
        <f t="shared" si="16"/>
        <v>21.424877574328885</v>
      </c>
      <c r="J108" s="663">
        <f t="shared" si="17"/>
        <v>15.711576887841183</v>
      </c>
    </row>
    <row r="109" spans="2:10" ht="15.75" thickBot="1" x14ac:dyDescent="0.3">
      <c r="B109" s="664">
        <f>Amnt_Deposited!B101</f>
        <v>2040</v>
      </c>
      <c r="C109" s="665">
        <f>Amnt_Deposited!G101</f>
        <v>179.928</v>
      </c>
      <c r="D109" s="666">
        <f>MCF!R108</f>
        <v>1</v>
      </c>
      <c r="E109" s="667">
        <f t="shared" si="12"/>
        <v>21.591359999999998</v>
      </c>
      <c r="F109" s="667">
        <f t="shared" si="13"/>
        <v>21.591359999999998</v>
      </c>
      <c r="G109" s="667">
        <f t="shared" si="14"/>
        <v>0</v>
      </c>
      <c r="H109" s="667">
        <f t="shared" si="15"/>
        <v>368.22411932323843</v>
      </c>
      <c r="I109" s="667">
        <f t="shared" si="16"/>
        <v>21.43457275603787</v>
      </c>
      <c r="J109" s="668">
        <f t="shared" si="17"/>
        <v>15.718686687761107</v>
      </c>
    </row>
  </sheetData>
  <pageMargins left="0.7" right="0.7" top="0.78740157499999996" bottom="0.78740157499999996"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7"/>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28515625" style="281" customWidth="1"/>
    <col min="9" max="9" width="11.710937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28515625" style="44" customWidth="1"/>
    <col min="265" max="265" width="11.710937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28515625" style="44" customWidth="1"/>
    <col min="521" max="521" width="11.710937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28515625" style="44" customWidth="1"/>
    <col min="777" max="777" width="11.710937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28515625" style="44" customWidth="1"/>
    <col min="1033" max="1033" width="11.710937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28515625" style="44" customWidth="1"/>
    <col min="1289" max="1289" width="11.710937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28515625" style="44" customWidth="1"/>
    <col min="1545" max="1545" width="11.710937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28515625" style="44" customWidth="1"/>
    <col min="1801" max="1801" width="11.710937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28515625" style="44" customWidth="1"/>
    <col min="2057" max="2057" width="11.710937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28515625" style="44" customWidth="1"/>
    <col min="2313" max="2313" width="11.710937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28515625" style="44" customWidth="1"/>
    <col min="2569" max="2569" width="11.710937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28515625" style="44" customWidth="1"/>
    <col min="2825" max="2825" width="11.710937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28515625" style="44" customWidth="1"/>
    <col min="3081" max="3081" width="11.710937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28515625" style="44" customWidth="1"/>
    <col min="3337" max="3337" width="11.710937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28515625" style="44" customWidth="1"/>
    <col min="3593" max="3593" width="11.710937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28515625" style="44" customWidth="1"/>
    <col min="3849" max="3849" width="11.710937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28515625" style="44" customWidth="1"/>
    <col min="4105" max="4105" width="11.710937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28515625" style="44" customWidth="1"/>
    <col min="4361" max="4361" width="11.710937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28515625" style="44" customWidth="1"/>
    <col min="4617" max="4617" width="11.710937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28515625" style="44" customWidth="1"/>
    <col min="4873" max="4873" width="11.710937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28515625" style="44" customWidth="1"/>
    <col min="5129" max="5129" width="11.710937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28515625" style="44" customWidth="1"/>
    <col min="5385" max="5385" width="11.710937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28515625" style="44" customWidth="1"/>
    <col min="5641" max="5641" width="11.710937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28515625" style="44" customWidth="1"/>
    <col min="5897" max="5897" width="11.710937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28515625" style="44" customWidth="1"/>
    <col min="6153" max="6153" width="11.710937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28515625" style="44" customWidth="1"/>
    <col min="6409" max="6409" width="11.710937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28515625" style="44" customWidth="1"/>
    <col min="6665" max="6665" width="11.710937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28515625" style="44" customWidth="1"/>
    <col min="6921" max="6921" width="11.710937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28515625" style="44" customWidth="1"/>
    <col min="7177" max="7177" width="11.710937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28515625" style="44" customWidth="1"/>
    <col min="7433" max="7433" width="11.710937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28515625" style="44" customWidth="1"/>
    <col min="7689" max="7689" width="11.710937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28515625" style="44" customWidth="1"/>
    <col min="7945" max="7945" width="11.710937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28515625" style="44" customWidth="1"/>
    <col min="8201" max="8201" width="11.710937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28515625" style="44" customWidth="1"/>
    <col min="8457" max="8457" width="11.710937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28515625" style="44" customWidth="1"/>
    <col min="8713" max="8713" width="11.710937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28515625" style="44" customWidth="1"/>
    <col min="8969" max="8969" width="11.710937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28515625" style="44" customWidth="1"/>
    <col min="9225" max="9225" width="11.710937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28515625" style="44" customWidth="1"/>
    <col min="9481" max="9481" width="11.710937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28515625" style="44" customWidth="1"/>
    <col min="9737" max="9737" width="11.710937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28515625" style="44" customWidth="1"/>
    <col min="9993" max="9993" width="11.710937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28515625" style="44" customWidth="1"/>
    <col min="10249" max="10249" width="11.710937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28515625" style="44" customWidth="1"/>
    <col min="10505" max="10505" width="11.710937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28515625" style="44" customWidth="1"/>
    <col min="10761" max="10761" width="11.710937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28515625" style="44" customWidth="1"/>
    <col min="11017" max="11017" width="11.710937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28515625" style="44" customWidth="1"/>
    <col min="11273" max="11273" width="11.710937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28515625" style="44" customWidth="1"/>
    <col min="11529" max="11529" width="11.710937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28515625" style="44" customWidth="1"/>
    <col min="11785" max="11785" width="11.710937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28515625" style="44" customWidth="1"/>
    <col min="12041" max="12041" width="11.710937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28515625" style="44" customWidth="1"/>
    <col min="12297" max="12297" width="11.710937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28515625" style="44" customWidth="1"/>
    <col min="12553" max="12553" width="11.710937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28515625" style="44" customWidth="1"/>
    <col min="12809" max="12809" width="11.710937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28515625" style="44" customWidth="1"/>
    <col min="13065" max="13065" width="11.710937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28515625" style="44" customWidth="1"/>
    <col min="13321" max="13321" width="11.710937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28515625" style="44" customWidth="1"/>
    <col min="13577" max="13577" width="11.710937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28515625" style="44" customWidth="1"/>
    <col min="13833" max="13833" width="11.710937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28515625" style="44" customWidth="1"/>
    <col min="14089" max="14089" width="11.710937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28515625" style="44" customWidth="1"/>
    <col min="14345" max="14345" width="11.710937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28515625" style="44" customWidth="1"/>
    <col min="14601" max="14601" width="11.710937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28515625" style="44" customWidth="1"/>
    <col min="14857" max="14857" width="11.710937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28515625" style="44" customWidth="1"/>
    <col min="15113" max="15113" width="11.710937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28515625" style="44" customWidth="1"/>
    <col min="15369" max="15369" width="11.710937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28515625" style="44" customWidth="1"/>
    <col min="15625" max="15625" width="11.710937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28515625" style="44" customWidth="1"/>
    <col min="15881" max="15881" width="11.710937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28515625" style="44" customWidth="1"/>
    <col min="16137" max="16137" width="11.7109375" style="44" customWidth="1"/>
    <col min="16138" max="16138" width="10.28515625" style="44" customWidth="1"/>
    <col min="16139" max="16384" width="9.140625" style="44"/>
  </cols>
  <sheetData>
    <row r="2" spans="1:10" ht="15.75" x14ac:dyDescent="0.25">
      <c r="B2" s="669" t="s">
        <v>288</v>
      </c>
      <c r="C2" s="585"/>
      <c r="D2" s="586"/>
      <c r="E2" s="587"/>
      <c r="F2" s="587"/>
      <c r="G2" s="587"/>
      <c r="H2" s="587"/>
      <c r="I2" s="587"/>
      <c r="J2" s="587"/>
    </row>
    <row r="3" spans="1:10" ht="15.75" x14ac:dyDescent="0.25">
      <c r="B3" s="588" t="str">
        <f>IF(Select2=2,"This sheet applies only to the waste compositon option and can be deleted when the bulk waste option has been chosen","")</f>
        <v/>
      </c>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Parameters!M18</f>
        <v>0.24</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Parameters!M32</f>
        <v>0.1</v>
      </c>
      <c r="J8" s="609"/>
    </row>
    <row r="9" spans="1:10" ht="15.75" x14ac:dyDescent="0.3">
      <c r="D9" s="610" t="s">
        <v>260</v>
      </c>
      <c r="E9" s="611"/>
      <c r="F9" s="611"/>
      <c r="G9" s="612"/>
      <c r="H9" s="613" t="s">
        <v>261</v>
      </c>
      <c r="I9" s="614">
        <f>LN(2)/$I$8</f>
        <v>6.9314718055994522</v>
      </c>
      <c r="J9" s="609"/>
    </row>
    <row r="10" spans="1:10" x14ac:dyDescent="0.25">
      <c r="D10" s="615" t="s">
        <v>262</v>
      </c>
      <c r="E10" s="616"/>
      <c r="F10" s="616"/>
      <c r="G10" s="617"/>
      <c r="H10" s="618" t="s">
        <v>263</v>
      </c>
      <c r="I10" s="619">
        <f>EXP(-$I$8)</f>
        <v>0.90483741803595952</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48"/>
      <c r="D18" s="649"/>
      <c r="E18" s="650"/>
      <c r="F18" s="651"/>
      <c r="G18" s="651"/>
      <c r="H18" s="651"/>
      <c r="I18" s="651"/>
      <c r="J18" s="652"/>
    </row>
    <row r="19" spans="2:10" x14ac:dyDescent="0.25">
      <c r="B19" s="653">
        <f>Amnt_Deposited!B11</f>
        <v>1950</v>
      </c>
      <c r="C19" s="654">
        <f>Amnt_Deposited!H11</f>
        <v>0</v>
      </c>
      <c r="D19" s="655">
        <f>MCF!R18</f>
        <v>0.6</v>
      </c>
      <c r="E19" s="656">
        <f>C19*$I$6*DOCF*D19</f>
        <v>0</v>
      </c>
      <c r="F19" s="657">
        <f t="shared" ref="F19:F82" si="0">E19*$I$12</f>
        <v>0</v>
      </c>
      <c r="G19" s="657">
        <f>E19*(1-$I$12)</f>
        <v>0</v>
      </c>
      <c r="H19" s="657">
        <f>F19+H18*$I$10</f>
        <v>0</v>
      </c>
      <c r="I19" s="657">
        <f>H18*(1-$I$10)+G19</f>
        <v>0</v>
      </c>
      <c r="J19" s="658">
        <f>I19*CH4_fraction*conv</f>
        <v>0</v>
      </c>
    </row>
    <row r="20" spans="2:10" x14ac:dyDescent="0.25">
      <c r="B20" s="659">
        <f>Amnt_Deposited!B12</f>
        <v>1951</v>
      </c>
      <c r="C20" s="660">
        <f>Amnt_Deposited!H12</f>
        <v>0</v>
      </c>
      <c r="D20" s="661">
        <f>MCF!R19</f>
        <v>0.6</v>
      </c>
      <c r="E20" s="662">
        <f t="shared" ref="E20:E83" si="1">C20*$I$6*DOCF*D20</f>
        <v>0</v>
      </c>
      <c r="F20" s="662">
        <f t="shared" si="0"/>
        <v>0</v>
      </c>
      <c r="G20" s="662">
        <f t="shared" ref="G20:G83" si="2">E20*(1-$I$12)</f>
        <v>0</v>
      </c>
      <c r="H20" s="662">
        <f t="shared" ref="H20:H83" si="3">F20+H19*$I$10</f>
        <v>0</v>
      </c>
      <c r="I20" s="662">
        <f t="shared" ref="I20:I83" si="4">H19*(1-$I$10)+G20</f>
        <v>0</v>
      </c>
      <c r="J20" s="663">
        <f>I20*CH4_fraction*conv</f>
        <v>0</v>
      </c>
    </row>
    <row r="21" spans="2:10" x14ac:dyDescent="0.25">
      <c r="B21" s="659">
        <f>Amnt_Deposited!B13</f>
        <v>1952</v>
      </c>
      <c r="C21" s="660">
        <f>Amnt_Deposited!H13</f>
        <v>0</v>
      </c>
      <c r="D21" s="661">
        <f>MCF!R20</f>
        <v>0.6</v>
      </c>
      <c r="E21" s="662">
        <f t="shared" si="1"/>
        <v>0</v>
      </c>
      <c r="F21" s="662">
        <f t="shared" si="0"/>
        <v>0</v>
      </c>
      <c r="G21" s="662">
        <f t="shared" si="2"/>
        <v>0</v>
      </c>
      <c r="H21" s="662">
        <f t="shared" si="3"/>
        <v>0</v>
      </c>
      <c r="I21" s="662">
        <f t="shared" si="4"/>
        <v>0</v>
      </c>
      <c r="J21" s="663">
        <f t="shared" ref="J21:J84" si="5">I21*CH4_fraction*conv</f>
        <v>0</v>
      </c>
    </row>
    <row r="22" spans="2:10" x14ac:dyDescent="0.25">
      <c r="B22" s="659">
        <f>Amnt_Deposited!B14</f>
        <v>1953</v>
      </c>
      <c r="C22" s="660">
        <f>Amnt_Deposited!H14</f>
        <v>0</v>
      </c>
      <c r="D22" s="661">
        <f>MCF!R21</f>
        <v>0.6</v>
      </c>
      <c r="E22" s="662">
        <f t="shared" si="1"/>
        <v>0</v>
      </c>
      <c r="F22" s="662">
        <f t="shared" si="0"/>
        <v>0</v>
      </c>
      <c r="G22" s="662">
        <f t="shared" si="2"/>
        <v>0</v>
      </c>
      <c r="H22" s="662">
        <f t="shared" si="3"/>
        <v>0</v>
      </c>
      <c r="I22" s="662">
        <f t="shared" si="4"/>
        <v>0</v>
      </c>
      <c r="J22" s="663">
        <f t="shared" si="5"/>
        <v>0</v>
      </c>
    </row>
    <row r="23" spans="2:10" x14ac:dyDescent="0.25">
      <c r="B23" s="659">
        <f>Amnt_Deposited!B15</f>
        <v>1954</v>
      </c>
      <c r="C23" s="660">
        <f>Amnt_Deposited!H15</f>
        <v>0</v>
      </c>
      <c r="D23" s="661">
        <f>MCF!R22</f>
        <v>0.6</v>
      </c>
      <c r="E23" s="662">
        <f t="shared" si="1"/>
        <v>0</v>
      </c>
      <c r="F23" s="662">
        <f t="shared" si="0"/>
        <v>0</v>
      </c>
      <c r="G23" s="662">
        <f t="shared" si="2"/>
        <v>0</v>
      </c>
      <c r="H23" s="662">
        <f t="shared" si="3"/>
        <v>0</v>
      </c>
      <c r="I23" s="662">
        <f t="shared" si="4"/>
        <v>0</v>
      </c>
      <c r="J23" s="663">
        <f t="shared" si="5"/>
        <v>0</v>
      </c>
    </row>
    <row r="24" spans="2:10" x14ac:dyDescent="0.25">
      <c r="B24" s="659">
        <f>Amnt_Deposited!B16</f>
        <v>1955</v>
      </c>
      <c r="C24" s="660">
        <f>Amnt_Deposited!H16</f>
        <v>0</v>
      </c>
      <c r="D24" s="661">
        <f>MCF!R23</f>
        <v>0.6</v>
      </c>
      <c r="E24" s="662">
        <f t="shared" si="1"/>
        <v>0</v>
      </c>
      <c r="F24" s="662">
        <f t="shared" si="0"/>
        <v>0</v>
      </c>
      <c r="G24" s="662">
        <f t="shared" si="2"/>
        <v>0</v>
      </c>
      <c r="H24" s="662">
        <f t="shared" si="3"/>
        <v>0</v>
      </c>
      <c r="I24" s="662">
        <f t="shared" si="4"/>
        <v>0</v>
      </c>
      <c r="J24" s="663">
        <f t="shared" si="5"/>
        <v>0</v>
      </c>
    </row>
    <row r="25" spans="2:10" x14ac:dyDescent="0.25">
      <c r="B25" s="659">
        <f>Amnt_Deposited!B17</f>
        <v>1956</v>
      </c>
      <c r="C25" s="660">
        <f>Amnt_Deposited!H17</f>
        <v>0</v>
      </c>
      <c r="D25" s="661">
        <f>MCF!R24</f>
        <v>0.6</v>
      </c>
      <c r="E25" s="662">
        <f t="shared" si="1"/>
        <v>0</v>
      </c>
      <c r="F25" s="662">
        <f t="shared" si="0"/>
        <v>0</v>
      </c>
      <c r="G25" s="662">
        <f t="shared" si="2"/>
        <v>0</v>
      </c>
      <c r="H25" s="662">
        <f t="shared" si="3"/>
        <v>0</v>
      </c>
      <c r="I25" s="662">
        <f t="shared" si="4"/>
        <v>0</v>
      </c>
      <c r="J25" s="663">
        <f t="shared" si="5"/>
        <v>0</v>
      </c>
    </row>
    <row r="26" spans="2:10" x14ac:dyDescent="0.25">
      <c r="B26" s="659">
        <f>Amnt_Deposited!B18</f>
        <v>1957</v>
      </c>
      <c r="C26" s="660">
        <f>Amnt_Deposited!H18</f>
        <v>0</v>
      </c>
      <c r="D26" s="661">
        <f>MCF!R25</f>
        <v>0.6</v>
      </c>
      <c r="E26" s="662">
        <f t="shared" si="1"/>
        <v>0</v>
      </c>
      <c r="F26" s="662">
        <f t="shared" si="0"/>
        <v>0</v>
      </c>
      <c r="G26" s="662">
        <f t="shared" si="2"/>
        <v>0</v>
      </c>
      <c r="H26" s="662">
        <f t="shared" si="3"/>
        <v>0</v>
      </c>
      <c r="I26" s="662">
        <f t="shared" si="4"/>
        <v>0</v>
      </c>
      <c r="J26" s="663">
        <f t="shared" si="5"/>
        <v>0</v>
      </c>
    </row>
    <row r="27" spans="2:10" x14ac:dyDescent="0.25">
      <c r="B27" s="659">
        <f>Amnt_Deposited!B19</f>
        <v>1958</v>
      </c>
      <c r="C27" s="660">
        <f>Amnt_Deposited!H19</f>
        <v>0</v>
      </c>
      <c r="D27" s="661">
        <f>MCF!R26</f>
        <v>0.6</v>
      </c>
      <c r="E27" s="662">
        <f t="shared" si="1"/>
        <v>0</v>
      </c>
      <c r="F27" s="662">
        <f t="shared" si="0"/>
        <v>0</v>
      </c>
      <c r="G27" s="662">
        <f t="shared" si="2"/>
        <v>0</v>
      </c>
      <c r="H27" s="662">
        <f t="shared" si="3"/>
        <v>0</v>
      </c>
      <c r="I27" s="662">
        <f t="shared" si="4"/>
        <v>0</v>
      </c>
      <c r="J27" s="663">
        <f t="shared" si="5"/>
        <v>0</v>
      </c>
    </row>
    <row r="28" spans="2:10" x14ac:dyDescent="0.25">
      <c r="B28" s="659">
        <f>Amnt_Deposited!B20</f>
        <v>1959</v>
      </c>
      <c r="C28" s="660">
        <f>Amnt_Deposited!H20</f>
        <v>0</v>
      </c>
      <c r="D28" s="661">
        <f>MCF!R27</f>
        <v>0.6</v>
      </c>
      <c r="E28" s="662">
        <f t="shared" si="1"/>
        <v>0</v>
      </c>
      <c r="F28" s="662">
        <f t="shared" si="0"/>
        <v>0</v>
      </c>
      <c r="G28" s="662">
        <f t="shared" si="2"/>
        <v>0</v>
      </c>
      <c r="H28" s="662">
        <f t="shared" si="3"/>
        <v>0</v>
      </c>
      <c r="I28" s="662">
        <f t="shared" si="4"/>
        <v>0</v>
      </c>
      <c r="J28" s="663">
        <f t="shared" si="5"/>
        <v>0</v>
      </c>
    </row>
    <row r="29" spans="2:10" x14ac:dyDescent="0.25">
      <c r="B29" s="659">
        <f>Amnt_Deposited!B21</f>
        <v>1960</v>
      </c>
      <c r="C29" s="660">
        <f>Amnt_Deposited!H21</f>
        <v>0</v>
      </c>
      <c r="D29" s="661">
        <f>MCF!R28</f>
        <v>0.6</v>
      </c>
      <c r="E29" s="662">
        <f t="shared" si="1"/>
        <v>0</v>
      </c>
      <c r="F29" s="662">
        <f t="shared" si="0"/>
        <v>0</v>
      </c>
      <c r="G29" s="662">
        <f t="shared" si="2"/>
        <v>0</v>
      </c>
      <c r="H29" s="662">
        <f t="shared" si="3"/>
        <v>0</v>
      </c>
      <c r="I29" s="662">
        <f t="shared" si="4"/>
        <v>0</v>
      </c>
      <c r="J29" s="663">
        <f t="shared" si="5"/>
        <v>0</v>
      </c>
    </row>
    <row r="30" spans="2:10" x14ac:dyDescent="0.25">
      <c r="B30" s="659">
        <f>Amnt_Deposited!B22</f>
        <v>1961</v>
      </c>
      <c r="C30" s="660">
        <f>Amnt_Deposited!H22</f>
        <v>0</v>
      </c>
      <c r="D30" s="661">
        <f>MCF!R29</f>
        <v>0.6</v>
      </c>
      <c r="E30" s="662">
        <f t="shared" si="1"/>
        <v>0</v>
      </c>
      <c r="F30" s="662">
        <f t="shared" si="0"/>
        <v>0</v>
      </c>
      <c r="G30" s="662">
        <f t="shared" si="2"/>
        <v>0</v>
      </c>
      <c r="H30" s="662">
        <f t="shared" si="3"/>
        <v>0</v>
      </c>
      <c r="I30" s="662">
        <f t="shared" si="4"/>
        <v>0</v>
      </c>
      <c r="J30" s="663">
        <f t="shared" si="5"/>
        <v>0</v>
      </c>
    </row>
    <row r="31" spans="2:10" x14ac:dyDescent="0.25">
      <c r="B31" s="659">
        <f>Amnt_Deposited!B23</f>
        <v>1962</v>
      </c>
      <c r="C31" s="660">
        <f>Amnt_Deposited!H23</f>
        <v>0</v>
      </c>
      <c r="D31" s="661">
        <f>MCF!R30</f>
        <v>0.6</v>
      </c>
      <c r="E31" s="662">
        <f t="shared" si="1"/>
        <v>0</v>
      </c>
      <c r="F31" s="662">
        <f t="shared" si="0"/>
        <v>0</v>
      </c>
      <c r="G31" s="662">
        <f t="shared" si="2"/>
        <v>0</v>
      </c>
      <c r="H31" s="662">
        <f t="shared" si="3"/>
        <v>0</v>
      </c>
      <c r="I31" s="662">
        <f t="shared" si="4"/>
        <v>0</v>
      </c>
      <c r="J31" s="663">
        <f t="shared" si="5"/>
        <v>0</v>
      </c>
    </row>
    <row r="32" spans="2:10" x14ac:dyDescent="0.25">
      <c r="B32" s="659">
        <f>Amnt_Deposited!B24</f>
        <v>1963</v>
      </c>
      <c r="C32" s="660">
        <f>Amnt_Deposited!H24</f>
        <v>0</v>
      </c>
      <c r="D32" s="661">
        <f>MCF!R31</f>
        <v>0.6</v>
      </c>
      <c r="E32" s="662">
        <f t="shared" si="1"/>
        <v>0</v>
      </c>
      <c r="F32" s="662">
        <f t="shared" si="0"/>
        <v>0</v>
      </c>
      <c r="G32" s="662">
        <f t="shared" si="2"/>
        <v>0</v>
      </c>
      <c r="H32" s="662">
        <f t="shared" si="3"/>
        <v>0</v>
      </c>
      <c r="I32" s="662">
        <f t="shared" si="4"/>
        <v>0</v>
      </c>
      <c r="J32" s="663">
        <f t="shared" si="5"/>
        <v>0</v>
      </c>
    </row>
    <row r="33" spans="2:10" x14ac:dyDescent="0.25">
      <c r="B33" s="659">
        <f>Amnt_Deposited!B25</f>
        <v>1964</v>
      </c>
      <c r="C33" s="660">
        <f>Amnt_Deposited!H25</f>
        <v>0</v>
      </c>
      <c r="D33" s="661">
        <f>MCF!R32</f>
        <v>0.6</v>
      </c>
      <c r="E33" s="662">
        <f t="shared" si="1"/>
        <v>0</v>
      </c>
      <c r="F33" s="662">
        <f t="shared" si="0"/>
        <v>0</v>
      </c>
      <c r="G33" s="662">
        <f t="shared" si="2"/>
        <v>0</v>
      </c>
      <c r="H33" s="662">
        <f t="shared" si="3"/>
        <v>0</v>
      </c>
      <c r="I33" s="662">
        <f t="shared" si="4"/>
        <v>0</v>
      </c>
      <c r="J33" s="663">
        <f t="shared" si="5"/>
        <v>0</v>
      </c>
    </row>
    <row r="34" spans="2:10" x14ac:dyDescent="0.25">
      <c r="B34" s="659">
        <f>Amnt_Deposited!B26</f>
        <v>1965</v>
      </c>
      <c r="C34" s="660">
        <f>Amnt_Deposited!H26</f>
        <v>0</v>
      </c>
      <c r="D34" s="661">
        <f>MCF!R33</f>
        <v>0.6</v>
      </c>
      <c r="E34" s="662">
        <f t="shared" si="1"/>
        <v>0</v>
      </c>
      <c r="F34" s="662">
        <f t="shared" si="0"/>
        <v>0</v>
      </c>
      <c r="G34" s="662">
        <f t="shared" si="2"/>
        <v>0</v>
      </c>
      <c r="H34" s="662">
        <f t="shared" si="3"/>
        <v>0</v>
      </c>
      <c r="I34" s="662">
        <f t="shared" si="4"/>
        <v>0</v>
      </c>
      <c r="J34" s="663">
        <f t="shared" si="5"/>
        <v>0</v>
      </c>
    </row>
    <row r="35" spans="2:10" x14ac:dyDescent="0.25">
      <c r="B35" s="659">
        <f>Amnt_Deposited!B27</f>
        <v>1966</v>
      </c>
      <c r="C35" s="660">
        <f>Amnt_Deposited!H27</f>
        <v>0</v>
      </c>
      <c r="D35" s="661">
        <f>MCF!R34</f>
        <v>0.6</v>
      </c>
      <c r="E35" s="662">
        <f t="shared" si="1"/>
        <v>0</v>
      </c>
      <c r="F35" s="662">
        <f t="shared" si="0"/>
        <v>0</v>
      </c>
      <c r="G35" s="662">
        <f t="shared" si="2"/>
        <v>0</v>
      </c>
      <c r="H35" s="662">
        <f t="shared" si="3"/>
        <v>0</v>
      </c>
      <c r="I35" s="662">
        <f t="shared" si="4"/>
        <v>0</v>
      </c>
      <c r="J35" s="663">
        <f t="shared" si="5"/>
        <v>0</v>
      </c>
    </row>
    <row r="36" spans="2:10" x14ac:dyDescent="0.25">
      <c r="B36" s="659">
        <f>Amnt_Deposited!B28</f>
        <v>1967</v>
      </c>
      <c r="C36" s="660">
        <f>Amnt_Deposited!H28</f>
        <v>0</v>
      </c>
      <c r="D36" s="661">
        <f>MCF!R35</f>
        <v>0.6</v>
      </c>
      <c r="E36" s="662">
        <f t="shared" si="1"/>
        <v>0</v>
      </c>
      <c r="F36" s="662">
        <f t="shared" si="0"/>
        <v>0</v>
      </c>
      <c r="G36" s="662">
        <f t="shared" si="2"/>
        <v>0</v>
      </c>
      <c r="H36" s="662">
        <f t="shared" si="3"/>
        <v>0</v>
      </c>
      <c r="I36" s="662">
        <f t="shared" si="4"/>
        <v>0</v>
      </c>
      <c r="J36" s="663">
        <f t="shared" si="5"/>
        <v>0</v>
      </c>
    </row>
    <row r="37" spans="2:10" x14ac:dyDescent="0.25">
      <c r="B37" s="659">
        <f>Amnt_Deposited!B29</f>
        <v>1968</v>
      </c>
      <c r="C37" s="660">
        <f>Amnt_Deposited!H29</f>
        <v>0</v>
      </c>
      <c r="D37" s="661">
        <f>MCF!R36</f>
        <v>0.6</v>
      </c>
      <c r="E37" s="662">
        <f t="shared" si="1"/>
        <v>0</v>
      </c>
      <c r="F37" s="662">
        <f t="shared" si="0"/>
        <v>0</v>
      </c>
      <c r="G37" s="662">
        <f t="shared" si="2"/>
        <v>0</v>
      </c>
      <c r="H37" s="662">
        <f t="shared" si="3"/>
        <v>0</v>
      </c>
      <c r="I37" s="662">
        <f t="shared" si="4"/>
        <v>0</v>
      </c>
      <c r="J37" s="663">
        <f t="shared" si="5"/>
        <v>0</v>
      </c>
    </row>
    <row r="38" spans="2:10" x14ac:dyDescent="0.25">
      <c r="B38" s="659">
        <f>Amnt_Deposited!B30</f>
        <v>1969</v>
      </c>
      <c r="C38" s="660">
        <f>Amnt_Deposited!H30</f>
        <v>0</v>
      </c>
      <c r="D38" s="661">
        <f>MCF!R37</f>
        <v>0.6</v>
      </c>
      <c r="E38" s="662">
        <f t="shared" si="1"/>
        <v>0</v>
      </c>
      <c r="F38" s="662">
        <f t="shared" si="0"/>
        <v>0</v>
      </c>
      <c r="G38" s="662">
        <f t="shared" si="2"/>
        <v>0</v>
      </c>
      <c r="H38" s="662">
        <f t="shared" si="3"/>
        <v>0</v>
      </c>
      <c r="I38" s="662">
        <f t="shared" si="4"/>
        <v>0</v>
      </c>
      <c r="J38" s="663">
        <f t="shared" si="5"/>
        <v>0</v>
      </c>
    </row>
    <row r="39" spans="2:10" x14ac:dyDescent="0.25">
      <c r="B39" s="659">
        <f>Amnt_Deposited!B31</f>
        <v>1970</v>
      </c>
      <c r="C39" s="660">
        <f>Amnt_Deposited!H31</f>
        <v>0</v>
      </c>
      <c r="D39" s="661">
        <f>MCF!R38</f>
        <v>0.8</v>
      </c>
      <c r="E39" s="662">
        <f t="shared" si="1"/>
        <v>0</v>
      </c>
      <c r="F39" s="662">
        <f t="shared" si="0"/>
        <v>0</v>
      </c>
      <c r="G39" s="662">
        <f t="shared" si="2"/>
        <v>0</v>
      </c>
      <c r="H39" s="662">
        <f t="shared" si="3"/>
        <v>0</v>
      </c>
      <c r="I39" s="662">
        <f t="shared" si="4"/>
        <v>0</v>
      </c>
      <c r="J39" s="663">
        <f t="shared" si="5"/>
        <v>0</v>
      </c>
    </row>
    <row r="40" spans="2:10" x14ac:dyDescent="0.25">
      <c r="B40" s="659">
        <f>Amnt_Deposited!B32</f>
        <v>1971</v>
      </c>
      <c r="C40" s="660">
        <f>Amnt_Deposited!H32</f>
        <v>0</v>
      </c>
      <c r="D40" s="661">
        <f>MCF!R39</f>
        <v>0.8</v>
      </c>
      <c r="E40" s="662">
        <f t="shared" si="1"/>
        <v>0</v>
      </c>
      <c r="F40" s="662">
        <f t="shared" si="0"/>
        <v>0</v>
      </c>
      <c r="G40" s="662">
        <f t="shared" si="2"/>
        <v>0</v>
      </c>
      <c r="H40" s="662">
        <f t="shared" si="3"/>
        <v>0</v>
      </c>
      <c r="I40" s="662">
        <f t="shared" si="4"/>
        <v>0</v>
      </c>
      <c r="J40" s="663">
        <f t="shared" si="5"/>
        <v>0</v>
      </c>
    </row>
    <row r="41" spans="2:10" x14ac:dyDescent="0.25">
      <c r="B41" s="659">
        <f>Amnt_Deposited!B33</f>
        <v>1972</v>
      </c>
      <c r="C41" s="660">
        <f>Amnt_Deposited!H33</f>
        <v>0</v>
      </c>
      <c r="D41" s="661">
        <f>MCF!R40</f>
        <v>0.8</v>
      </c>
      <c r="E41" s="662">
        <f t="shared" si="1"/>
        <v>0</v>
      </c>
      <c r="F41" s="662">
        <f t="shared" si="0"/>
        <v>0</v>
      </c>
      <c r="G41" s="662">
        <f t="shared" si="2"/>
        <v>0</v>
      </c>
      <c r="H41" s="662">
        <f t="shared" si="3"/>
        <v>0</v>
      </c>
      <c r="I41" s="662">
        <f t="shared" si="4"/>
        <v>0</v>
      </c>
      <c r="J41" s="663">
        <f t="shared" si="5"/>
        <v>0</v>
      </c>
    </row>
    <row r="42" spans="2:10" x14ac:dyDescent="0.25">
      <c r="B42" s="659">
        <f>Amnt_Deposited!B34</f>
        <v>1973</v>
      </c>
      <c r="C42" s="660">
        <f>Amnt_Deposited!H34</f>
        <v>0</v>
      </c>
      <c r="D42" s="661">
        <f>MCF!R41</f>
        <v>0.8</v>
      </c>
      <c r="E42" s="662">
        <f t="shared" si="1"/>
        <v>0</v>
      </c>
      <c r="F42" s="662">
        <f t="shared" si="0"/>
        <v>0</v>
      </c>
      <c r="G42" s="662">
        <f t="shared" si="2"/>
        <v>0</v>
      </c>
      <c r="H42" s="662">
        <f t="shared" si="3"/>
        <v>0</v>
      </c>
      <c r="I42" s="662">
        <f t="shared" si="4"/>
        <v>0</v>
      </c>
      <c r="J42" s="663">
        <f t="shared" si="5"/>
        <v>0</v>
      </c>
    </row>
    <row r="43" spans="2:10" x14ac:dyDescent="0.25">
      <c r="B43" s="659">
        <f>Amnt_Deposited!B35</f>
        <v>1974</v>
      </c>
      <c r="C43" s="660">
        <f>Amnt_Deposited!H35</f>
        <v>0</v>
      </c>
      <c r="D43" s="661">
        <f>MCF!R42</f>
        <v>0.8</v>
      </c>
      <c r="E43" s="662">
        <f t="shared" si="1"/>
        <v>0</v>
      </c>
      <c r="F43" s="662">
        <f t="shared" si="0"/>
        <v>0</v>
      </c>
      <c r="G43" s="662">
        <f t="shared" si="2"/>
        <v>0</v>
      </c>
      <c r="H43" s="662">
        <f t="shared" si="3"/>
        <v>0</v>
      </c>
      <c r="I43" s="662">
        <f t="shared" si="4"/>
        <v>0</v>
      </c>
      <c r="J43" s="663">
        <f t="shared" si="5"/>
        <v>0</v>
      </c>
    </row>
    <row r="44" spans="2:10" x14ac:dyDescent="0.25">
      <c r="B44" s="659">
        <f>Amnt_Deposited!B36</f>
        <v>1975</v>
      </c>
      <c r="C44" s="660">
        <f>Amnt_Deposited!H36</f>
        <v>0</v>
      </c>
      <c r="D44" s="661">
        <f>MCF!R43</f>
        <v>0.8</v>
      </c>
      <c r="E44" s="662">
        <f t="shared" si="1"/>
        <v>0</v>
      </c>
      <c r="F44" s="662">
        <f t="shared" si="0"/>
        <v>0</v>
      </c>
      <c r="G44" s="662">
        <f t="shared" si="2"/>
        <v>0</v>
      </c>
      <c r="H44" s="662">
        <f t="shared" si="3"/>
        <v>0</v>
      </c>
      <c r="I44" s="662">
        <f t="shared" si="4"/>
        <v>0</v>
      </c>
      <c r="J44" s="663">
        <f t="shared" si="5"/>
        <v>0</v>
      </c>
    </row>
    <row r="45" spans="2:10" x14ac:dyDescent="0.25">
      <c r="B45" s="659">
        <f>Amnt_Deposited!B37</f>
        <v>1976</v>
      </c>
      <c r="C45" s="660">
        <f>Amnt_Deposited!H37</f>
        <v>0</v>
      </c>
      <c r="D45" s="661">
        <f>MCF!R44</f>
        <v>0.8</v>
      </c>
      <c r="E45" s="662">
        <f t="shared" si="1"/>
        <v>0</v>
      </c>
      <c r="F45" s="662">
        <f t="shared" si="0"/>
        <v>0</v>
      </c>
      <c r="G45" s="662">
        <f t="shared" si="2"/>
        <v>0</v>
      </c>
      <c r="H45" s="662">
        <f t="shared" si="3"/>
        <v>0</v>
      </c>
      <c r="I45" s="662">
        <f t="shared" si="4"/>
        <v>0</v>
      </c>
      <c r="J45" s="663">
        <f t="shared" si="5"/>
        <v>0</v>
      </c>
    </row>
    <row r="46" spans="2:10" x14ac:dyDescent="0.25">
      <c r="B46" s="659">
        <f>Amnt_Deposited!B38</f>
        <v>1977</v>
      </c>
      <c r="C46" s="660">
        <f>Amnt_Deposited!H38</f>
        <v>0</v>
      </c>
      <c r="D46" s="661">
        <f>MCF!R45</f>
        <v>0.8</v>
      </c>
      <c r="E46" s="662">
        <f t="shared" si="1"/>
        <v>0</v>
      </c>
      <c r="F46" s="662">
        <f t="shared" si="0"/>
        <v>0</v>
      </c>
      <c r="G46" s="662">
        <f t="shared" si="2"/>
        <v>0</v>
      </c>
      <c r="H46" s="662">
        <f t="shared" si="3"/>
        <v>0</v>
      </c>
      <c r="I46" s="662">
        <f t="shared" si="4"/>
        <v>0</v>
      </c>
      <c r="J46" s="663">
        <f t="shared" si="5"/>
        <v>0</v>
      </c>
    </row>
    <row r="47" spans="2:10" x14ac:dyDescent="0.25">
      <c r="B47" s="659">
        <f>Amnt_Deposited!B39</f>
        <v>1978</v>
      </c>
      <c r="C47" s="660">
        <f>Amnt_Deposited!H39</f>
        <v>0</v>
      </c>
      <c r="D47" s="661">
        <f>MCF!R46</f>
        <v>0.8</v>
      </c>
      <c r="E47" s="662">
        <f t="shared" si="1"/>
        <v>0</v>
      </c>
      <c r="F47" s="662">
        <f t="shared" si="0"/>
        <v>0</v>
      </c>
      <c r="G47" s="662">
        <f t="shared" si="2"/>
        <v>0</v>
      </c>
      <c r="H47" s="662">
        <f t="shared" si="3"/>
        <v>0</v>
      </c>
      <c r="I47" s="662">
        <f t="shared" si="4"/>
        <v>0</v>
      </c>
      <c r="J47" s="663">
        <f t="shared" si="5"/>
        <v>0</v>
      </c>
    </row>
    <row r="48" spans="2:10" x14ac:dyDescent="0.25">
      <c r="B48" s="659">
        <f>Amnt_Deposited!B40</f>
        <v>1979</v>
      </c>
      <c r="C48" s="660">
        <f>Amnt_Deposited!H40</f>
        <v>0</v>
      </c>
      <c r="D48" s="661">
        <f>MCF!R47</f>
        <v>0.8</v>
      </c>
      <c r="E48" s="662">
        <f t="shared" si="1"/>
        <v>0</v>
      </c>
      <c r="F48" s="662">
        <f t="shared" si="0"/>
        <v>0</v>
      </c>
      <c r="G48" s="662">
        <f t="shared" si="2"/>
        <v>0</v>
      </c>
      <c r="H48" s="662">
        <f t="shared" si="3"/>
        <v>0</v>
      </c>
      <c r="I48" s="662">
        <f t="shared" si="4"/>
        <v>0</v>
      </c>
      <c r="J48" s="663">
        <f t="shared" si="5"/>
        <v>0</v>
      </c>
    </row>
    <row r="49" spans="2:10" x14ac:dyDescent="0.25">
      <c r="B49" s="659">
        <f>Amnt_Deposited!B41</f>
        <v>1980</v>
      </c>
      <c r="C49" s="660">
        <f>Amnt_Deposited!H41</f>
        <v>0</v>
      </c>
      <c r="D49" s="661">
        <f>MCF!R48</f>
        <v>0.9</v>
      </c>
      <c r="E49" s="662">
        <f t="shared" si="1"/>
        <v>0</v>
      </c>
      <c r="F49" s="662">
        <f t="shared" si="0"/>
        <v>0</v>
      </c>
      <c r="G49" s="662">
        <f t="shared" si="2"/>
        <v>0</v>
      </c>
      <c r="H49" s="662">
        <f t="shared" si="3"/>
        <v>0</v>
      </c>
      <c r="I49" s="662">
        <f t="shared" si="4"/>
        <v>0</v>
      </c>
      <c r="J49" s="663">
        <f t="shared" si="5"/>
        <v>0</v>
      </c>
    </row>
    <row r="50" spans="2:10" x14ac:dyDescent="0.25">
      <c r="B50" s="659">
        <f>Amnt_Deposited!B42</f>
        <v>1981</v>
      </c>
      <c r="C50" s="660">
        <f>Amnt_Deposited!H42</f>
        <v>0</v>
      </c>
      <c r="D50" s="661">
        <f>MCF!R49</f>
        <v>0.9</v>
      </c>
      <c r="E50" s="662">
        <f t="shared" si="1"/>
        <v>0</v>
      </c>
      <c r="F50" s="662">
        <f t="shared" si="0"/>
        <v>0</v>
      </c>
      <c r="G50" s="662">
        <f t="shared" si="2"/>
        <v>0</v>
      </c>
      <c r="H50" s="662">
        <f t="shared" si="3"/>
        <v>0</v>
      </c>
      <c r="I50" s="662">
        <f t="shared" si="4"/>
        <v>0</v>
      </c>
      <c r="J50" s="663">
        <f t="shared" si="5"/>
        <v>0</v>
      </c>
    </row>
    <row r="51" spans="2:10" x14ac:dyDescent="0.25">
      <c r="B51" s="659">
        <f>Amnt_Deposited!B43</f>
        <v>1982</v>
      </c>
      <c r="C51" s="660">
        <f>Amnt_Deposited!H43</f>
        <v>0</v>
      </c>
      <c r="D51" s="661">
        <f>MCF!R50</f>
        <v>0.9</v>
      </c>
      <c r="E51" s="662">
        <f t="shared" si="1"/>
        <v>0</v>
      </c>
      <c r="F51" s="662">
        <f t="shared" si="0"/>
        <v>0</v>
      </c>
      <c r="G51" s="662">
        <f t="shared" si="2"/>
        <v>0</v>
      </c>
      <c r="H51" s="662">
        <f t="shared" si="3"/>
        <v>0</v>
      </c>
      <c r="I51" s="662">
        <f t="shared" si="4"/>
        <v>0</v>
      </c>
      <c r="J51" s="663">
        <f t="shared" si="5"/>
        <v>0</v>
      </c>
    </row>
    <row r="52" spans="2:10" x14ac:dyDescent="0.25">
      <c r="B52" s="659">
        <f>Amnt_Deposited!B44</f>
        <v>1983</v>
      </c>
      <c r="C52" s="660">
        <f>Amnt_Deposited!H44</f>
        <v>0</v>
      </c>
      <c r="D52" s="661">
        <f>MCF!R51</f>
        <v>0.9</v>
      </c>
      <c r="E52" s="662">
        <f t="shared" si="1"/>
        <v>0</v>
      </c>
      <c r="F52" s="662">
        <f t="shared" si="0"/>
        <v>0</v>
      </c>
      <c r="G52" s="662">
        <f t="shared" si="2"/>
        <v>0</v>
      </c>
      <c r="H52" s="662">
        <f t="shared" si="3"/>
        <v>0</v>
      </c>
      <c r="I52" s="662">
        <f t="shared" si="4"/>
        <v>0</v>
      </c>
      <c r="J52" s="663">
        <f t="shared" si="5"/>
        <v>0</v>
      </c>
    </row>
    <row r="53" spans="2:10" x14ac:dyDescent="0.25">
      <c r="B53" s="659">
        <f>Amnt_Deposited!B45</f>
        <v>1984</v>
      </c>
      <c r="C53" s="660">
        <f>Amnt_Deposited!H45</f>
        <v>0</v>
      </c>
      <c r="D53" s="661">
        <f>MCF!R52</f>
        <v>0.9</v>
      </c>
      <c r="E53" s="662">
        <f t="shared" si="1"/>
        <v>0</v>
      </c>
      <c r="F53" s="662">
        <f t="shared" si="0"/>
        <v>0</v>
      </c>
      <c r="G53" s="662">
        <f t="shared" si="2"/>
        <v>0</v>
      </c>
      <c r="H53" s="662">
        <f t="shared" si="3"/>
        <v>0</v>
      </c>
      <c r="I53" s="662">
        <f t="shared" si="4"/>
        <v>0</v>
      </c>
      <c r="J53" s="663">
        <f t="shared" si="5"/>
        <v>0</v>
      </c>
    </row>
    <row r="54" spans="2:10" x14ac:dyDescent="0.25">
      <c r="B54" s="659">
        <f>Amnt_Deposited!B46</f>
        <v>1985</v>
      </c>
      <c r="C54" s="660">
        <f>Amnt_Deposited!H46</f>
        <v>0</v>
      </c>
      <c r="D54" s="661">
        <f>MCF!R53</f>
        <v>0.9</v>
      </c>
      <c r="E54" s="662">
        <f t="shared" si="1"/>
        <v>0</v>
      </c>
      <c r="F54" s="662">
        <f t="shared" si="0"/>
        <v>0</v>
      </c>
      <c r="G54" s="662">
        <f t="shared" si="2"/>
        <v>0</v>
      </c>
      <c r="H54" s="662">
        <f t="shared" si="3"/>
        <v>0</v>
      </c>
      <c r="I54" s="662">
        <f t="shared" si="4"/>
        <v>0</v>
      </c>
      <c r="J54" s="663">
        <f t="shared" si="5"/>
        <v>0</v>
      </c>
    </row>
    <row r="55" spans="2:10" x14ac:dyDescent="0.25">
      <c r="B55" s="659">
        <f>Amnt_Deposited!B47</f>
        <v>1986</v>
      </c>
      <c r="C55" s="660">
        <f>Amnt_Deposited!H47</f>
        <v>0</v>
      </c>
      <c r="D55" s="661">
        <f>MCF!R54</f>
        <v>0.9</v>
      </c>
      <c r="E55" s="662">
        <f t="shared" si="1"/>
        <v>0</v>
      </c>
      <c r="F55" s="662">
        <f t="shared" si="0"/>
        <v>0</v>
      </c>
      <c r="G55" s="662">
        <f t="shared" si="2"/>
        <v>0</v>
      </c>
      <c r="H55" s="662">
        <f t="shared" si="3"/>
        <v>0</v>
      </c>
      <c r="I55" s="662">
        <f t="shared" si="4"/>
        <v>0</v>
      </c>
      <c r="J55" s="663">
        <f t="shared" si="5"/>
        <v>0</v>
      </c>
    </row>
    <row r="56" spans="2:10" x14ac:dyDescent="0.25">
      <c r="B56" s="659">
        <f>Amnt_Deposited!B48</f>
        <v>1987</v>
      </c>
      <c r="C56" s="660">
        <f>Amnt_Deposited!H48</f>
        <v>0</v>
      </c>
      <c r="D56" s="661">
        <f>MCF!R55</f>
        <v>0.9</v>
      </c>
      <c r="E56" s="662">
        <f t="shared" si="1"/>
        <v>0</v>
      </c>
      <c r="F56" s="662">
        <f t="shared" si="0"/>
        <v>0</v>
      </c>
      <c r="G56" s="662">
        <f t="shared" si="2"/>
        <v>0</v>
      </c>
      <c r="H56" s="662">
        <f t="shared" si="3"/>
        <v>0</v>
      </c>
      <c r="I56" s="662">
        <f t="shared" si="4"/>
        <v>0</v>
      </c>
      <c r="J56" s="663">
        <f t="shared" si="5"/>
        <v>0</v>
      </c>
    </row>
    <row r="57" spans="2:10" x14ac:dyDescent="0.25">
      <c r="B57" s="659">
        <f>Amnt_Deposited!B49</f>
        <v>1988</v>
      </c>
      <c r="C57" s="660">
        <f>Amnt_Deposited!H49</f>
        <v>0</v>
      </c>
      <c r="D57" s="661">
        <f>MCF!R56</f>
        <v>0.9</v>
      </c>
      <c r="E57" s="662">
        <f t="shared" si="1"/>
        <v>0</v>
      </c>
      <c r="F57" s="662">
        <f t="shared" si="0"/>
        <v>0</v>
      </c>
      <c r="G57" s="662">
        <f t="shared" si="2"/>
        <v>0</v>
      </c>
      <c r="H57" s="662">
        <f t="shared" si="3"/>
        <v>0</v>
      </c>
      <c r="I57" s="662">
        <f t="shared" si="4"/>
        <v>0</v>
      </c>
      <c r="J57" s="663">
        <f t="shared" si="5"/>
        <v>0</v>
      </c>
    </row>
    <row r="58" spans="2:10" x14ac:dyDescent="0.25">
      <c r="B58" s="659">
        <f>Amnt_Deposited!B50</f>
        <v>1989</v>
      </c>
      <c r="C58" s="660">
        <f>Amnt_Deposited!H50</f>
        <v>0</v>
      </c>
      <c r="D58" s="661">
        <f>MCF!R57</f>
        <v>0.9</v>
      </c>
      <c r="E58" s="662">
        <f t="shared" si="1"/>
        <v>0</v>
      </c>
      <c r="F58" s="662">
        <f t="shared" si="0"/>
        <v>0</v>
      </c>
      <c r="G58" s="662">
        <f t="shared" si="2"/>
        <v>0</v>
      </c>
      <c r="H58" s="662">
        <f t="shared" si="3"/>
        <v>0</v>
      </c>
      <c r="I58" s="662">
        <f t="shared" si="4"/>
        <v>0</v>
      </c>
      <c r="J58" s="663">
        <f t="shared" si="5"/>
        <v>0</v>
      </c>
    </row>
    <row r="59" spans="2:10" x14ac:dyDescent="0.25">
      <c r="B59" s="659">
        <f>Amnt_Deposited!B51</f>
        <v>1990</v>
      </c>
      <c r="C59" s="660">
        <f>Amnt_Deposited!H51</f>
        <v>0</v>
      </c>
      <c r="D59" s="661">
        <f>MCF!R58</f>
        <v>1</v>
      </c>
      <c r="E59" s="662">
        <f t="shared" si="1"/>
        <v>0</v>
      </c>
      <c r="F59" s="662">
        <f t="shared" si="0"/>
        <v>0</v>
      </c>
      <c r="G59" s="662">
        <f t="shared" si="2"/>
        <v>0</v>
      </c>
      <c r="H59" s="662">
        <f t="shared" si="3"/>
        <v>0</v>
      </c>
      <c r="I59" s="662">
        <f t="shared" si="4"/>
        <v>0</v>
      </c>
      <c r="J59" s="663">
        <f t="shared" si="5"/>
        <v>0</v>
      </c>
    </row>
    <row r="60" spans="2:10" x14ac:dyDescent="0.25">
      <c r="B60" s="659">
        <f>Amnt_Deposited!B52</f>
        <v>1991</v>
      </c>
      <c r="C60" s="660">
        <f>Amnt_Deposited!H52</f>
        <v>0</v>
      </c>
      <c r="D60" s="661">
        <f>MCF!R59</f>
        <v>1</v>
      </c>
      <c r="E60" s="662">
        <f t="shared" si="1"/>
        <v>0</v>
      </c>
      <c r="F60" s="662">
        <f t="shared" si="0"/>
        <v>0</v>
      </c>
      <c r="G60" s="662">
        <f t="shared" si="2"/>
        <v>0</v>
      </c>
      <c r="H60" s="662">
        <f t="shared" si="3"/>
        <v>0</v>
      </c>
      <c r="I60" s="662">
        <f t="shared" si="4"/>
        <v>0</v>
      </c>
      <c r="J60" s="663">
        <f t="shared" si="5"/>
        <v>0</v>
      </c>
    </row>
    <row r="61" spans="2:10" x14ac:dyDescent="0.25">
      <c r="B61" s="659">
        <f>Amnt_Deposited!B53</f>
        <v>1992</v>
      </c>
      <c r="C61" s="660">
        <f>Amnt_Deposited!H53</f>
        <v>0</v>
      </c>
      <c r="D61" s="661">
        <f>MCF!R60</f>
        <v>1</v>
      </c>
      <c r="E61" s="662">
        <f t="shared" si="1"/>
        <v>0</v>
      </c>
      <c r="F61" s="662">
        <f t="shared" si="0"/>
        <v>0</v>
      </c>
      <c r="G61" s="662">
        <f t="shared" si="2"/>
        <v>0</v>
      </c>
      <c r="H61" s="662">
        <f t="shared" si="3"/>
        <v>0</v>
      </c>
      <c r="I61" s="662">
        <f t="shared" si="4"/>
        <v>0</v>
      </c>
      <c r="J61" s="663">
        <f t="shared" si="5"/>
        <v>0</v>
      </c>
    </row>
    <row r="62" spans="2:10" x14ac:dyDescent="0.25">
      <c r="B62" s="659">
        <f>Amnt_Deposited!B54</f>
        <v>1993</v>
      </c>
      <c r="C62" s="660">
        <f>Amnt_Deposited!H54</f>
        <v>0</v>
      </c>
      <c r="D62" s="661">
        <f>MCF!R61</f>
        <v>1</v>
      </c>
      <c r="E62" s="662">
        <f t="shared" si="1"/>
        <v>0</v>
      </c>
      <c r="F62" s="662">
        <f t="shared" si="0"/>
        <v>0</v>
      </c>
      <c r="G62" s="662">
        <f t="shared" si="2"/>
        <v>0</v>
      </c>
      <c r="H62" s="662">
        <f t="shared" si="3"/>
        <v>0</v>
      </c>
      <c r="I62" s="662">
        <f t="shared" si="4"/>
        <v>0</v>
      </c>
      <c r="J62" s="663">
        <f t="shared" si="5"/>
        <v>0</v>
      </c>
    </row>
    <row r="63" spans="2:10" x14ac:dyDescent="0.25">
      <c r="B63" s="659">
        <f>Amnt_Deposited!B55</f>
        <v>1994</v>
      </c>
      <c r="C63" s="660">
        <f>Amnt_Deposited!H55</f>
        <v>0</v>
      </c>
      <c r="D63" s="661">
        <f>MCF!R62</f>
        <v>1</v>
      </c>
      <c r="E63" s="662">
        <f t="shared" si="1"/>
        <v>0</v>
      </c>
      <c r="F63" s="662">
        <f t="shared" si="0"/>
        <v>0</v>
      </c>
      <c r="G63" s="662">
        <f t="shared" si="2"/>
        <v>0</v>
      </c>
      <c r="H63" s="662">
        <f t="shared" si="3"/>
        <v>0</v>
      </c>
      <c r="I63" s="662">
        <f t="shared" si="4"/>
        <v>0</v>
      </c>
      <c r="J63" s="663">
        <f t="shared" si="5"/>
        <v>0</v>
      </c>
    </row>
    <row r="64" spans="2:10" x14ac:dyDescent="0.25">
      <c r="B64" s="659">
        <f>Amnt_Deposited!B56</f>
        <v>1995</v>
      </c>
      <c r="C64" s="660">
        <f>Amnt_Deposited!H56</f>
        <v>0</v>
      </c>
      <c r="D64" s="661">
        <f>MCF!R63</f>
        <v>1</v>
      </c>
      <c r="E64" s="662">
        <f t="shared" si="1"/>
        <v>0</v>
      </c>
      <c r="F64" s="662">
        <f t="shared" si="0"/>
        <v>0</v>
      </c>
      <c r="G64" s="662">
        <f t="shared" si="2"/>
        <v>0</v>
      </c>
      <c r="H64" s="662">
        <f t="shared" si="3"/>
        <v>0</v>
      </c>
      <c r="I64" s="662">
        <f t="shared" si="4"/>
        <v>0</v>
      </c>
      <c r="J64" s="663">
        <f t="shared" si="5"/>
        <v>0</v>
      </c>
    </row>
    <row r="65" spans="2:10" x14ac:dyDescent="0.25">
      <c r="B65" s="659">
        <f>Amnt_Deposited!B57</f>
        <v>1996</v>
      </c>
      <c r="C65" s="660">
        <f>Amnt_Deposited!H57</f>
        <v>0</v>
      </c>
      <c r="D65" s="661">
        <f>MCF!R64</f>
        <v>1</v>
      </c>
      <c r="E65" s="662">
        <f t="shared" si="1"/>
        <v>0</v>
      </c>
      <c r="F65" s="662">
        <f t="shared" si="0"/>
        <v>0</v>
      </c>
      <c r="G65" s="662">
        <f t="shared" si="2"/>
        <v>0</v>
      </c>
      <c r="H65" s="662">
        <f t="shared" si="3"/>
        <v>0</v>
      </c>
      <c r="I65" s="662">
        <f t="shared" si="4"/>
        <v>0</v>
      </c>
      <c r="J65" s="663">
        <f t="shared" si="5"/>
        <v>0</v>
      </c>
    </row>
    <row r="66" spans="2:10" x14ac:dyDescent="0.25">
      <c r="B66" s="659">
        <f>Amnt_Deposited!B58</f>
        <v>1997</v>
      </c>
      <c r="C66" s="660">
        <f>Amnt_Deposited!H58</f>
        <v>0</v>
      </c>
      <c r="D66" s="661">
        <f>MCF!R65</f>
        <v>1</v>
      </c>
      <c r="E66" s="662">
        <f t="shared" si="1"/>
        <v>0</v>
      </c>
      <c r="F66" s="662">
        <f t="shared" si="0"/>
        <v>0</v>
      </c>
      <c r="G66" s="662">
        <f t="shared" si="2"/>
        <v>0</v>
      </c>
      <c r="H66" s="662">
        <f t="shared" si="3"/>
        <v>0</v>
      </c>
      <c r="I66" s="662">
        <f t="shared" si="4"/>
        <v>0</v>
      </c>
      <c r="J66" s="663">
        <f t="shared" si="5"/>
        <v>0</v>
      </c>
    </row>
    <row r="67" spans="2:10" x14ac:dyDescent="0.25">
      <c r="B67" s="659">
        <f>Amnt_Deposited!B59</f>
        <v>1998</v>
      </c>
      <c r="C67" s="660">
        <f>Amnt_Deposited!H59</f>
        <v>0</v>
      </c>
      <c r="D67" s="661">
        <f>MCF!R66</f>
        <v>1</v>
      </c>
      <c r="E67" s="662">
        <f t="shared" si="1"/>
        <v>0</v>
      </c>
      <c r="F67" s="662">
        <f t="shared" si="0"/>
        <v>0</v>
      </c>
      <c r="G67" s="662">
        <f t="shared" si="2"/>
        <v>0</v>
      </c>
      <c r="H67" s="662">
        <f t="shared" si="3"/>
        <v>0</v>
      </c>
      <c r="I67" s="662">
        <f t="shared" si="4"/>
        <v>0</v>
      </c>
      <c r="J67" s="663">
        <f t="shared" si="5"/>
        <v>0</v>
      </c>
    </row>
    <row r="68" spans="2:10" x14ac:dyDescent="0.25">
      <c r="B68" s="659">
        <f>Amnt_Deposited!B60</f>
        <v>1999</v>
      </c>
      <c r="C68" s="660">
        <f>Amnt_Deposited!H60</f>
        <v>0</v>
      </c>
      <c r="D68" s="661">
        <f>MCF!R67</f>
        <v>1</v>
      </c>
      <c r="E68" s="662">
        <f t="shared" si="1"/>
        <v>0</v>
      </c>
      <c r="F68" s="662">
        <f t="shared" si="0"/>
        <v>0</v>
      </c>
      <c r="G68" s="662">
        <f t="shared" si="2"/>
        <v>0</v>
      </c>
      <c r="H68" s="662">
        <f t="shared" si="3"/>
        <v>0</v>
      </c>
      <c r="I68" s="662">
        <f t="shared" si="4"/>
        <v>0</v>
      </c>
      <c r="J68" s="663">
        <f t="shared" si="5"/>
        <v>0</v>
      </c>
    </row>
    <row r="69" spans="2:10" x14ac:dyDescent="0.25">
      <c r="B69" s="659">
        <f>Amnt_Deposited!B61</f>
        <v>2000</v>
      </c>
      <c r="C69" s="660">
        <f>Amnt_Deposited!H61</f>
        <v>0</v>
      </c>
      <c r="D69" s="661">
        <f>MCF!R68</f>
        <v>1</v>
      </c>
      <c r="E69" s="662">
        <f t="shared" si="1"/>
        <v>0</v>
      </c>
      <c r="F69" s="662">
        <f t="shared" si="0"/>
        <v>0</v>
      </c>
      <c r="G69" s="662">
        <f t="shared" si="2"/>
        <v>0</v>
      </c>
      <c r="H69" s="662">
        <f t="shared" si="3"/>
        <v>0</v>
      </c>
      <c r="I69" s="662">
        <f t="shared" si="4"/>
        <v>0</v>
      </c>
      <c r="J69" s="663">
        <f t="shared" si="5"/>
        <v>0</v>
      </c>
    </row>
    <row r="70" spans="2:10" x14ac:dyDescent="0.25">
      <c r="B70" s="659">
        <f>Amnt_Deposited!B62</f>
        <v>2001</v>
      </c>
      <c r="C70" s="660">
        <f>Amnt_Deposited!H62</f>
        <v>0</v>
      </c>
      <c r="D70" s="661">
        <f>MCF!R69</f>
        <v>1</v>
      </c>
      <c r="E70" s="662">
        <f t="shared" si="1"/>
        <v>0</v>
      </c>
      <c r="F70" s="662">
        <f t="shared" si="0"/>
        <v>0</v>
      </c>
      <c r="G70" s="662">
        <f t="shared" si="2"/>
        <v>0</v>
      </c>
      <c r="H70" s="662">
        <f t="shared" si="3"/>
        <v>0</v>
      </c>
      <c r="I70" s="662">
        <f t="shared" si="4"/>
        <v>0</v>
      </c>
      <c r="J70" s="663">
        <f t="shared" si="5"/>
        <v>0</v>
      </c>
    </row>
    <row r="71" spans="2:10" x14ac:dyDescent="0.25">
      <c r="B71" s="659">
        <f>Amnt_Deposited!B63</f>
        <v>2002</v>
      </c>
      <c r="C71" s="660">
        <f>Amnt_Deposited!H63</f>
        <v>0</v>
      </c>
      <c r="D71" s="661">
        <f>MCF!R70</f>
        <v>1</v>
      </c>
      <c r="E71" s="662">
        <f t="shared" si="1"/>
        <v>0</v>
      </c>
      <c r="F71" s="662">
        <f t="shared" si="0"/>
        <v>0</v>
      </c>
      <c r="G71" s="662">
        <f t="shared" si="2"/>
        <v>0</v>
      </c>
      <c r="H71" s="662">
        <f t="shared" si="3"/>
        <v>0</v>
      </c>
      <c r="I71" s="662">
        <f t="shared" si="4"/>
        <v>0</v>
      </c>
      <c r="J71" s="663">
        <f t="shared" si="5"/>
        <v>0</v>
      </c>
    </row>
    <row r="72" spans="2:10" x14ac:dyDescent="0.25">
      <c r="B72" s="659">
        <f>Amnt_Deposited!B64</f>
        <v>2003</v>
      </c>
      <c r="C72" s="660">
        <f>Amnt_Deposited!H64</f>
        <v>0</v>
      </c>
      <c r="D72" s="661">
        <f>MCF!R71</f>
        <v>1</v>
      </c>
      <c r="E72" s="662">
        <f t="shared" si="1"/>
        <v>0</v>
      </c>
      <c r="F72" s="662">
        <f t="shared" si="0"/>
        <v>0</v>
      </c>
      <c r="G72" s="662">
        <f t="shared" si="2"/>
        <v>0</v>
      </c>
      <c r="H72" s="662">
        <f t="shared" si="3"/>
        <v>0</v>
      </c>
      <c r="I72" s="662">
        <f t="shared" si="4"/>
        <v>0</v>
      </c>
      <c r="J72" s="663">
        <f t="shared" si="5"/>
        <v>0</v>
      </c>
    </row>
    <row r="73" spans="2:10" x14ac:dyDescent="0.25">
      <c r="B73" s="659">
        <f>Amnt_Deposited!B65</f>
        <v>2004</v>
      </c>
      <c r="C73" s="660">
        <f>Amnt_Deposited!H65</f>
        <v>0</v>
      </c>
      <c r="D73" s="661">
        <f>MCF!R72</f>
        <v>1</v>
      </c>
      <c r="E73" s="662">
        <f t="shared" si="1"/>
        <v>0</v>
      </c>
      <c r="F73" s="662">
        <f t="shared" si="0"/>
        <v>0</v>
      </c>
      <c r="G73" s="662">
        <f t="shared" si="2"/>
        <v>0</v>
      </c>
      <c r="H73" s="662">
        <f t="shared" si="3"/>
        <v>0</v>
      </c>
      <c r="I73" s="662">
        <f t="shared" si="4"/>
        <v>0</v>
      </c>
      <c r="J73" s="663">
        <f t="shared" si="5"/>
        <v>0</v>
      </c>
    </row>
    <row r="74" spans="2:10" x14ac:dyDescent="0.25">
      <c r="B74" s="659">
        <f>Amnt_Deposited!B66</f>
        <v>2005</v>
      </c>
      <c r="C74" s="660">
        <f>Amnt_Deposited!H66</f>
        <v>0</v>
      </c>
      <c r="D74" s="661">
        <f>MCF!R73</f>
        <v>1</v>
      </c>
      <c r="E74" s="662">
        <f t="shared" si="1"/>
        <v>0</v>
      </c>
      <c r="F74" s="662">
        <f t="shared" si="0"/>
        <v>0</v>
      </c>
      <c r="G74" s="662">
        <f t="shared" si="2"/>
        <v>0</v>
      </c>
      <c r="H74" s="662">
        <f t="shared" si="3"/>
        <v>0</v>
      </c>
      <c r="I74" s="662">
        <f t="shared" si="4"/>
        <v>0</v>
      </c>
      <c r="J74" s="663">
        <f t="shared" si="5"/>
        <v>0</v>
      </c>
    </row>
    <row r="75" spans="2:10" x14ac:dyDescent="0.25">
      <c r="B75" s="659">
        <f>Amnt_Deposited!B67</f>
        <v>2006</v>
      </c>
      <c r="C75" s="660">
        <f>Amnt_Deposited!H67</f>
        <v>0</v>
      </c>
      <c r="D75" s="661">
        <f>MCF!R74</f>
        <v>1</v>
      </c>
      <c r="E75" s="662">
        <f t="shared" si="1"/>
        <v>0</v>
      </c>
      <c r="F75" s="662">
        <f t="shared" si="0"/>
        <v>0</v>
      </c>
      <c r="G75" s="662">
        <f t="shared" si="2"/>
        <v>0</v>
      </c>
      <c r="H75" s="662">
        <f t="shared" si="3"/>
        <v>0</v>
      </c>
      <c r="I75" s="662">
        <f t="shared" si="4"/>
        <v>0</v>
      </c>
      <c r="J75" s="663">
        <f t="shared" si="5"/>
        <v>0</v>
      </c>
    </row>
    <row r="76" spans="2:10" x14ac:dyDescent="0.25">
      <c r="B76" s="659">
        <f>Amnt_Deposited!B68</f>
        <v>2007</v>
      </c>
      <c r="C76" s="660">
        <f>Amnt_Deposited!H68</f>
        <v>0</v>
      </c>
      <c r="D76" s="661">
        <f>MCF!R75</f>
        <v>1</v>
      </c>
      <c r="E76" s="662">
        <f t="shared" si="1"/>
        <v>0</v>
      </c>
      <c r="F76" s="662">
        <f t="shared" si="0"/>
        <v>0</v>
      </c>
      <c r="G76" s="662">
        <f t="shared" si="2"/>
        <v>0</v>
      </c>
      <c r="H76" s="662">
        <f t="shared" si="3"/>
        <v>0</v>
      </c>
      <c r="I76" s="662">
        <f t="shared" si="4"/>
        <v>0</v>
      </c>
      <c r="J76" s="663">
        <f t="shared" si="5"/>
        <v>0</v>
      </c>
    </row>
    <row r="77" spans="2:10" x14ac:dyDescent="0.25">
      <c r="B77" s="659">
        <f>Amnt_Deposited!B69</f>
        <v>2008</v>
      </c>
      <c r="C77" s="660">
        <f>Amnt_Deposited!H69</f>
        <v>0</v>
      </c>
      <c r="D77" s="661">
        <f>MCF!R76</f>
        <v>1</v>
      </c>
      <c r="E77" s="662">
        <f t="shared" si="1"/>
        <v>0</v>
      </c>
      <c r="F77" s="662">
        <f t="shared" si="0"/>
        <v>0</v>
      </c>
      <c r="G77" s="662">
        <f t="shared" si="2"/>
        <v>0</v>
      </c>
      <c r="H77" s="662">
        <f t="shared" si="3"/>
        <v>0</v>
      </c>
      <c r="I77" s="662">
        <f t="shared" si="4"/>
        <v>0</v>
      </c>
      <c r="J77" s="663">
        <f t="shared" si="5"/>
        <v>0</v>
      </c>
    </row>
    <row r="78" spans="2:10" x14ac:dyDescent="0.25">
      <c r="B78" s="659">
        <f>Amnt_Deposited!B70</f>
        <v>2009</v>
      </c>
      <c r="C78" s="660">
        <f>Amnt_Deposited!H70</f>
        <v>0</v>
      </c>
      <c r="D78" s="661">
        <f>MCF!R77</f>
        <v>1</v>
      </c>
      <c r="E78" s="662">
        <f t="shared" si="1"/>
        <v>0</v>
      </c>
      <c r="F78" s="662">
        <f t="shared" si="0"/>
        <v>0</v>
      </c>
      <c r="G78" s="662">
        <f t="shared" si="2"/>
        <v>0</v>
      </c>
      <c r="H78" s="662">
        <f t="shared" si="3"/>
        <v>0</v>
      </c>
      <c r="I78" s="662">
        <f t="shared" si="4"/>
        <v>0</v>
      </c>
      <c r="J78" s="663">
        <f t="shared" si="5"/>
        <v>0</v>
      </c>
    </row>
    <row r="79" spans="2:10" x14ac:dyDescent="0.25">
      <c r="B79" s="659">
        <f>Amnt_Deposited!B71</f>
        <v>2010</v>
      </c>
      <c r="C79" s="660">
        <f>Amnt_Deposited!H71</f>
        <v>0</v>
      </c>
      <c r="D79" s="661">
        <f>MCF!R78</f>
        <v>1</v>
      </c>
      <c r="E79" s="662">
        <f t="shared" si="1"/>
        <v>0</v>
      </c>
      <c r="F79" s="662">
        <f t="shared" si="0"/>
        <v>0</v>
      </c>
      <c r="G79" s="662">
        <f t="shared" si="2"/>
        <v>0</v>
      </c>
      <c r="H79" s="662">
        <f t="shared" si="3"/>
        <v>0</v>
      </c>
      <c r="I79" s="662">
        <f t="shared" si="4"/>
        <v>0</v>
      </c>
      <c r="J79" s="663">
        <f t="shared" si="5"/>
        <v>0</v>
      </c>
    </row>
    <row r="80" spans="2:10" x14ac:dyDescent="0.25">
      <c r="B80" s="659">
        <f>Amnt_Deposited!B72</f>
        <v>2011</v>
      </c>
      <c r="C80" s="660">
        <f>Amnt_Deposited!H72</f>
        <v>0</v>
      </c>
      <c r="D80" s="661">
        <f>MCF!R79</f>
        <v>1</v>
      </c>
      <c r="E80" s="662">
        <f t="shared" si="1"/>
        <v>0</v>
      </c>
      <c r="F80" s="662">
        <f t="shared" si="0"/>
        <v>0</v>
      </c>
      <c r="G80" s="662">
        <f t="shared" si="2"/>
        <v>0</v>
      </c>
      <c r="H80" s="662">
        <f t="shared" si="3"/>
        <v>0</v>
      </c>
      <c r="I80" s="662">
        <f t="shared" si="4"/>
        <v>0</v>
      </c>
      <c r="J80" s="663">
        <f t="shared" si="5"/>
        <v>0</v>
      </c>
    </row>
    <row r="81" spans="2:10" x14ac:dyDescent="0.25">
      <c r="B81" s="659">
        <f>Amnt_Deposited!B73</f>
        <v>2012</v>
      </c>
      <c r="C81" s="660">
        <f>Amnt_Deposited!H73</f>
        <v>0</v>
      </c>
      <c r="D81" s="661">
        <f>MCF!R80</f>
        <v>1</v>
      </c>
      <c r="E81" s="662">
        <f t="shared" si="1"/>
        <v>0</v>
      </c>
      <c r="F81" s="662">
        <f t="shared" si="0"/>
        <v>0</v>
      </c>
      <c r="G81" s="662">
        <f t="shared" si="2"/>
        <v>0</v>
      </c>
      <c r="H81" s="662">
        <f t="shared" si="3"/>
        <v>0</v>
      </c>
      <c r="I81" s="662">
        <f t="shared" si="4"/>
        <v>0</v>
      </c>
      <c r="J81" s="663">
        <f t="shared" si="5"/>
        <v>0</v>
      </c>
    </row>
    <row r="82" spans="2:10" x14ac:dyDescent="0.25">
      <c r="B82" s="659">
        <f>Amnt_Deposited!B74</f>
        <v>2013</v>
      </c>
      <c r="C82" s="660">
        <f>Amnt_Deposited!H74</f>
        <v>0</v>
      </c>
      <c r="D82" s="661">
        <f>MCF!R81</f>
        <v>1</v>
      </c>
      <c r="E82" s="662">
        <f t="shared" si="1"/>
        <v>0</v>
      </c>
      <c r="F82" s="662">
        <f t="shared" si="0"/>
        <v>0</v>
      </c>
      <c r="G82" s="662">
        <f t="shared" si="2"/>
        <v>0</v>
      </c>
      <c r="H82" s="662">
        <f t="shared" si="3"/>
        <v>0</v>
      </c>
      <c r="I82" s="662">
        <f t="shared" si="4"/>
        <v>0</v>
      </c>
      <c r="J82" s="663">
        <f t="shared" si="5"/>
        <v>0</v>
      </c>
    </row>
    <row r="83" spans="2:10" x14ac:dyDescent="0.25">
      <c r="B83" s="659">
        <f>Amnt_Deposited!B75</f>
        <v>2014</v>
      </c>
      <c r="C83" s="660">
        <f>Amnt_Deposited!H75</f>
        <v>0</v>
      </c>
      <c r="D83" s="661">
        <f>MCF!R82</f>
        <v>1</v>
      </c>
      <c r="E83" s="662">
        <f t="shared" si="1"/>
        <v>0</v>
      </c>
      <c r="F83" s="662">
        <f t="shared" ref="F83:F109" si="6">E83*$I$12</f>
        <v>0</v>
      </c>
      <c r="G83" s="662">
        <f t="shared" si="2"/>
        <v>0</v>
      </c>
      <c r="H83" s="662">
        <f t="shared" si="3"/>
        <v>0</v>
      </c>
      <c r="I83" s="662">
        <f t="shared" si="4"/>
        <v>0</v>
      </c>
      <c r="J83" s="663">
        <f t="shared" si="5"/>
        <v>0</v>
      </c>
    </row>
    <row r="84" spans="2:10" x14ac:dyDescent="0.25">
      <c r="B84" s="659">
        <f>Amnt_Deposited!B76</f>
        <v>2015</v>
      </c>
      <c r="C84" s="660">
        <f>Amnt_Deposited!H76</f>
        <v>0</v>
      </c>
      <c r="D84" s="661">
        <f>MCF!R83</f>
        <v>1</v>
      </c>
      <c r="E84" s="662">
        <f t="shared" ref="E84:E109" si="7">C84*$I$6*DOCF*D84</f>
        <v>0</v>
      </c>
      <c r="F84" s="662">
        <f t="shared" si="6"/>
        <v>0</v>
      </c>
      <c r="G84" s="662">
        <f t="shared" ref="G84:G109" si="8">E84*(1-$I$12)</f>
        <v>0</v>
      </c>
      <c r="H84" s="662">
        <f t="shared" ref="H84:H109" si="9">F84+H83*$I$10</f>
        <v>0</v>
      </c>
      <c r="I84" s="662">
        <f t="shared" ref="I84:I109" si="10">H83*(1-$I$10)+G84</f>
        <v>0</v>
      </c>
      <c r="J84" s="663">
        <f t="shared" si="5"/>
        <v>0</v>
      </c>
    </row>
    <row r="85" spans="2:10" x14ac:dyDescent="0.25">
      <c r="B85" s="659">
        <f>Amnt_Deposited!B77</f>
        <v>2016</v>
      </c>
      <c r="C85" s="660">
        <f>Amnt_Deposited!H77</f>
        <v>0</v>
      </c>
      <c r="D85" s="661">
        <f>MCF!R84</f>
        <v>1</v>
      </c>
      <c r="E85" s="662">
        <f t="shared" si="7"/>
        <v>0</v>
      </c>
      <c r="F85" s="662">
        <f t="shared" si="6"/>
        <v>0</v>
      </c>
      <c r="G85" s="662">
        <f t="shared" si="8"/>
        <v>0</v>
      </c>
      <c r="H85" s="662">
        <f t="shared" si="9"/>
        <v>0</v>
      </c>
      <c r="I85" s="662">
        <f t="shared" si="10"/>
        <v>0</v>
      </c>
      <c r="J85" s="663">
        <f t="shared" ref="J85:J109" si="11">I85*CH4_fraction*conv</f>
        <v>0</v>
      </c>
    </row>
    <row r="86" spans="2:10" x14ac:dyDescent="0.25">
      <c r="B86" s="659">
        <f>Amnt_Deposited!B78</f>
        <v>2017</v>
      </c>
      <c r="C86" s="660">
        <f>Amnt_Deposited!H78</f>
        <v>0</v>
      </c>
      <c r="D86" s="661">
        <f>MCF!R85</f>
        <v>1</v>
      </c>
      <c r="E86" s="662">
        <f t="shared" ref="E86:E109" si="12">C86*$I$6*DOCF*D86</f>
        <v>0</v>
      </c>
      <c r="F86" s="662">
        <f t="shared" ref="F86:F109" si="13">E86*$I$12</f>
        <v>0</v>
      </c>
      <c r="G86" s="662">
        <f t="shared" ref="G86:G109" si="14">E86*(1-$I$12)</f>
        <v>0</v>
      </c>
      <c r="H86" s="662">
        <f t="shared" ref="H86:H109" si="15">F86+H85*$I$10</f>
        <v>0</v>
      </c>
      <c r="I86" s="662">
        <f t="shared" ref="I86:I109" si="16">H85*(1-$I$10)+G86</f>
        <v>0</v>
      </c>
      <c r="J86" s="663">
        <f t="shared" ref="J86:J109" si="17">I86*CH4_fraction*conv</f>
        <v>0</v>
      </c>
    </row>
    <row r="87" spans="2:10" x14ac:dyDescent="0.25">
      <c r="B87" s="659">
        <f>Amnt_Deposited!B79</f>
        <v>2018</v>
      </c>
      <c r="C87" s="660">
        <f>Amnt_Deposited!H79</f>
        <v>0</v>
      </c>
      <c r="D87" s="661">
        <f>MCF!R86</f>
        <v>1</v>
      </c>
      <c r="E87" s="662">
        <f t="shared" si="12"/>
        <v>0</v>
      </c>
      <c r="F87" s="662">
        <f t="shared" si="13"/>
        <v>0</v>
      </c>
      <c r="G87" s="662">
        <f t="shared" si="14"/>
        <v>0</v>
      </c>
      <c r="H87" s="662">
        <f t="shared" si="15"/>
        <v>0</v>
      </c>
      <c r="I87" s="662">
        <f t="shared" si="16"/>
        <v>0</v>
      </c>
      <c r="J87" s="663">
        <f t="shared" si="17"/>
        <v>0</v>
      </c>
    </row>
    <row r="88" spans="2:10" x14ac:dyDescent="0.25">
      <c r="B88" s="659">
        <f>Amnt_Deposited!B80</f>
        <v>2019</v>
      </c>
      <c r="C88" s="660">
        <f>Amnt_Deposited!H80</f>
        <v>0</v>
      </c>
      <c r="D88" s="661">
        <f>MCF!R87</f>
        <v>1</v>
      </c>
      <c r="E88" s="662">
        <f t="shared" si="12"/>
        <v>0</v>
      </c>
      <c r="F88" s="662">
        <f t="shared" si="13"/>
        <v>0</v>
      </c>
      <c r="G88" s="662">
        <f t="shared" si="14"/>
        <v>0</v>
      </c>
      <c r="H88" s="662">
        <f t="shared" si="15"/>
        <v>0</v>
      </c>
      <c r="I88" s="662">
        <f t="shared" si="16"/>
        <v>0</v>
      </c>
      <c r="J88" s="663">
        <f t="shared" si="17"/>
        <v>0</v>
      </c>
    </row>
    <row r="89" spans="2:10" x14ac:dyDescent="0.25">
      <c r="B89" s="659">
        <f>Amnt_Deposited!B81</f>
        <v>2020</v>
      </c>
      <c r="C89" s="660">
        <f>Amnt_Deposited!H81</f>
        <v>0</v>
      </c>
      <c r="D89" s="661">
        <f>MCF!R88</f>
        <v>1</v>
      </c>
      <c r="E89" s="662">
        <f t="shared" si="12"/>
        <v>0</v>
      </c>
      <c r="F89" s="662">
        <f t="shared" si="13"/>
        <v>0</v>
      </c>
      <c r="G89" s="662">
        <f t="shared" si="14"/>
        <v>0</v>
      </c>
      <c r="H89" s="662">
        <f t="shared" si="15"/>
        <v>0</v>
      </c>
      <c r="I89" s="662">
        <f t="shared" si="16"/>
        <v>0</v>
      </c>
      <c r="J89" s="663">
        <f t="shared" si="17"/>
        <v>0</v>
      </c>
    </row>
    <row r="90" spans="2:10" x14ac:dyDescent="0.25">
      <c r="B90" s="659">
        <f>Amnt_Deposited!B82</f>
        <v>2021</v>
      </c>
      <c r="C90" s="660">
        <f>Amnt_Deposited!H82</f>
        <v>0</v>
      </c>
      <c r="D90" s="661">
        <f>MCF!R89</f>
        <v>1</v>
      </c>
      <c r="E90" s="662">
        <f t="shared" si="12"/>
        <v>0</v>
      </c>
      <c r="F90" s="662">
        <f t="shared" si="13"/>
        <v>0</v>
      </c>
      <c r="G90" s="662">
        <f t="shared" si="14"/>
        <v>0</v>
      </c>
      <c r="H90" s="662">
        <f t="shared" si="15"/>
        <v>0</v>
      </c>
      <c r="I90" s="662">
        <f t="shared" si="16"/>
        <v>0</v>
      </c>
      <c r="J90" s="663">
        <f t="shared" si="17"/>
        <v>0</v>
      </c>
    </row>
    <row r="91" spans="2:10" x14ac:dyDescent="0.25">
      <c r="B91" s="659">
        <f>Amnt_Deposited!B83</f>
        <v>2022</v>
      </c>
      <c r="C91" s="660">
        <f>Amnt_Deposited!H83</f>
        <v>0</v>
      </c>
      <c r="D91" s="661">
        <f>MCF!R90</f>
        <v>1</v>
      </c>
      <c r="E91" s="662">
        <f t="shared" si="12"/>
        <v>0</v>
      </c>
      <c r="F91" s="662">
        <f t="shared" si="13"/>
        <v>0</v>
      </c>
      <c r="G91" s="662">
        <f t="shared" si="14"/>
        <v>0</v>
      </c>
      <c r="H91" s="662">
        <f t="shared" si="15"/>
        <v>0</v>
      </c>
      <c r="I91" s="662">
        <f t="shared" si="16"/>
        <v>0</v>
      </c>
      <c r="J91" s="663">
        <f t="shared" si="17"/>
        <v>0</v>
      </c>
    </row>
    <row r="92" spans="2:10" x14ac:dyDescent="0.25">
      <c r="B92" s="659">
        <f>Amnt_Deposited!B84</f>
        <v>2023</v>
      </c>
      <c r="C92" s="660">
        <f>Amnt_Deposited!H84</f>
        <v>0</v>
      </c>
      <c r="D92" s="661">
        <f>MCF!R91</f>
        <v>1</v>
      </c>
      <c r="E92" s="662">
        <f t="shared" si="12"/>
        <v>0</v>
      </c>
      <c r="F92" s="662">
        <f t="shared" si="13"/>
        <v>0</v>
      </c>
      <c r="G92" s="662">
        <f t="shared" si="14"/>
        <v>0</v>
      </c>
      <c r="H92" s="662">
        <f t="shared" si="15"/>
        <v>0</v>
      </c>
      <c r="I92" s="662">
        <f t="shared" si="16"/>
        <v>0</v>
      </c>
      <c r="J92" s="663">
        <f t="shared" si="17"/>
        <v>0</v>
      </c>
    </row>
    <row r="93" spans="2:10" x14ac:dyDescent="0.25">
      <c r="B93" s="659">
        <f>Amnt_Deposited!B85</f>
        <v>2024</v>
      </c>
      <c r="C93" s="660">
        <f>Amnt_Deposited!H85</f>
        <v>0</v>
      </c>
      <c r="D93" s="661">
        <f>MCF!R92</f>
        <v>1</v>
      </c>
      <c r="E93" s="662">
        <f t="shared" si="12"/>
        <v>0</v>
      </c>
      <c r="F93" s="662">
        <f t="shared" si="13"/>
        <v>0</v>
      </c>
      <c r="G93" s="662">
        <f t="shared" si="14"/>
        <v>0</v>
      </c>
      <c r="H93" s="662">
        <f t="shared" si="15"/>
        <v>0</v>
      </c>
      <c r="I93" s="662">
        <f t="shared" si="16"/>
        <v>0</v>
      </c>
      <c r="J93" s="663">
        <f t="shared" si="17"/>
        <v>0</v>
      </c>
    </row>
    <row r="94" spans="2:10" x14ac:dyDescent="0.25">
      <c r="B94" s="659">
        <f>Amnt_Deposited!B86</f>
        <v>2025</v>
      </c>
      <c r="C94" s="660">
        <f>Amnt_Deposited!H86</f>
        <v>0</v>
      </c>
      <c r="D94" s="661">
        <f>MCF!R93</f>
        <v>1</v>
      </c>
      <c r="E94" s="662">
        <f t="shared" si="12"/>
        <v>0</v>
      </c>
      <c r="F94" s="662">
        <f t="shared" si="13"/>
        <v>0</v>
      </c>
      <c r="G94" s="662">
        <f t="shared" si="14"/>
        <v>0</v>
      </c>
      <c r="H94" s="662">
        <f t="shared" si="15"/>
        <v>0</v>
      </c>
      <c r="I94" s="662">
        <f t="shared" si="16"/>
        <v>0</v>
      </c>
      <c r="J94" s="663">
        <f t="shared" si="17"/>
        <v>0</v>
      </c>
    </row>
    <row r="95" spans="2:10" x14ac:dyDescent="0.25">
      <c r="B95" s="659">
        <f>Amnt_Deposited!B87</f>
        <v>2026</v>
      </c>
      <c r="C95" s="660">
        <f>Amnt_Deposited!H87</f>
        <v>0</v>
      </c>
      <c r="D95" s="661">
        <f>MCF!R94</f>
        <v>1</v>
      </c>
      <c r="E95" s="662">
        <f t="shared" si="12"/>
        <v>0</v>
      </c>
      <c r="F95" s="662">
        <f t="shared" si="13"/>
        <v>0</v>
      </c>
      <c r="G95" s="662">
        <f t="shared" si="14"/>
        <v>0</v>
      </c>
      <c r="H95" s="662">
        <f t="shared" si="15"/>
        <v>0</v>
      </c>
      <c r="I95" s="662">
        <f t="shared" si="16"/>
        <v>0</v>
      </c>
      <c r="J95" s="663">
        <f t="shared" si="17"/>
        <v>0</v>
      </c>
    </row>
    <row r="96" spans="2:10" x14ac:dyDescent="0.25">
      <c r="B96" s="659">
        <f>Amnt_Deposited!B88</f>
        <v>2027</v>
      </c>
      <c r="C96" s="660">
        <f>Amnt_Deposited!H88</f>
        <v>0</v>
      </c>
      <c r="D96" s="661">
        <f>MCF!R95</f>
        <v>1</v>
      </c>
      <c r="E96" s="662">
        <f t="shared" si="12"/>
        <v>0</v>
      </c>
      <c r="F96" s="662">
        <f t="shared" si="13"/>
        <v>0</v>
      </c>
      <c r="G96" s="662">
        <f t="shared" si="14"/>
        <v>0</v>
      </c>
      <c r="H96" s="662">
        <f t="shared" si="15"/>
        <v>0</v>
      </c>
      <c r="I96" s="662">
        <f t="shared" si="16"/>
        <v>0</v>
      </c>
      <c r="J96" s="663">
        <f t="shared" si="17"/>
        <v>0</v>
      </c>
    </row>
    <row r="97" spans="2:10" x14ac:dyDescent="0.25">
      <c r="B97" s="659">
        <f>Amnt_Deposited!B89</f>
        <v>2028</v>
      </c>
      <c r="C97" s="660">
        <f>Amnt_Deposited!H89</f>
        <v>0</v>
      </c>
      <c r="D97" s="661">
        <f>MCF!R96</f>
        <v>1</v>
      </c>
      <c r="E97" s="662">
        <f t="shared" si="12"/>
        <v>0</v>
      </c>
      <c r="F97" s="662">
        <f t="shared" si="13"/>
        <v>0</v>
      </c>
      <c r="G97" s="662">
        <f t="shared" si="14"/>
        <v>0</v>
      </c>
      <c r="H97" s="662">
        <f t="shared" si="15"/>
        <v>0</v>
      </c>
      <c r="I97" s="662">
        <f t="shared" si="16"/>
        <v>0</v>
      </c>
      <c r="J97" s="663">
        <f t="shared" si="17"/>
        <v>0</v>
      </c>
    </row>
    <row r="98" spans="2:10" x14ac:dyDescent="0.25">
      <c r="B98" s="659">
        <f>Amnt_Deposited!B90</f>
        <v>2029</v>
      </c>
      <c r="C98" s="660">
        <f>Amnt_Deposited!H90</f>
        <v>0</v>
      </c>
      <c r="D98" s="661">
        <f>MCF!R97</f>
        <v>1</v>
      </c>
      <c r="E98" s="662">
        <f t="shared" si="12"/>
        <v>0</v>
      </c>
      <c r="F98" s="662">
        <f t="shared" si="13"/>
        <v>0</v>
      </c>
      <c r="G98" s="662">
        <f t="shared" si="14"/>
        <v>0</v>
      </c>
      <c r="H98" s="662">
        <f t="shared" si="15"/>
        <v>0</v>
      </c>
      <c r="I98" s="662">
        <f t="shared" si="16"/>
        <v>0</v>
      </c>
      <c r="J98" s="663">
        <f t="shared" si="17"/>
        <v>0</v>
      </c>
    </row>
    <row r="99" spans="2:10" x14ac:dyDescent="0.25">
      <c r="B99" s="659">
        <f>Amnt_Deposited!B91</f>
        <v>2030</v>
      </c>
      <c r="C99" s="660">
        <f>Amnt_Deposited!H91</f>
        <v>0</v>
      </c>
      <c r="D99" s="661">
        <f>MCF!R98</f>
        <v>1</v>
      </c>
      <c r="E99" s="662">
        <f t="shared" si="12"/>
        <v>0</v>
      </c>
      <c r="F99" s="662">
        <f t="shared" si="13"/>
        <v>0</v>
      </c>
      <c r="G99" s="662">
        <f t="shared" si="14"/>
        <v>0</v>
      </c>
      <c r="H99" s="662">
        <f t="shared" si="15"/>
        <v>0</v>
      </c>
      <c r="I99" s="662">
        <f t="shared" si="16"/>
        <v>0</v>
      </c>
      <c r="J99" s="663">
        <f t="shared" si="17"/>
        <v>0</v>
      </c>
    </row>
    <row r="100" spans="2:10" x14ac:dyDescent="0.25">
      <c r="B100" s="659">
        <f>Amnt_Deposited!B92</f>
        <v>2031</v>
      </c>
      <c r="C100" s="660">
        <f>Amnt_Deposited!H92</f>
        <v>0</v>
      </c>
      <c r="D100" s="661">
        <f>MCF!R99</f>
        <v>1</v>
      </c>
      <c r="E100" s="662">
        <f t="shared" si="12"/>
        <v>0</v>
      </c>
      <c r="F100" s="662">
        <f t="shared" si="13"/>
        <v>0</v>
      </c>
      <c r="G100" s="662">
        <f t="shared" si="14"/>
        <v>0</v>
      </c>
      <c r="H100" s="662">
        <f t="shared" si="15"/>
        <v>0</v>
      </c>
      <c r="I100" s="662">
        <f t="shared" si="16"/>
        <v>0</v>
      </c>
      <c r="J100" s="663">
        <f t="shared" si="17"/>
        <v>0</v>
      </c>
    </row>
    <row r="101" spans="2:10" x14ac:dyDescent="0.25">
      <c r="B101" s="659">
        <f>Amnt_Deposited!B93</f>
        <v>2032</v>
      </c>
      <c r="C101" s="660">
        <f>Amnt_Deposited!H93</f>
        <v>0</v>
      </c>
      <c r="D101" s="661">
        <f>MCF!R100</f>
        <v>1</v>
      </c>
      <c r="E101" s="662">
        <f t="shared" si="12"/>
        <v>0</v>
      </c>
      <c r="F101" s="662">
        <f t="shared" si="13"/>
        <v>0</v>
      </c>
      <c r="G101" s="662">
        <f t="shared" si="14"/>
        <v>0</v>
      </c>
      <c r="H101" s="662">
        <f t="shared" si="15"/>
        <v>0</v>
      </c>
      <c r="I101" s="662">
        <f t="shared" si="16"/>
        <v>0</v>
      </c>
      <c r="J101" s="663">
        <f t="shared" si="17"/>
        <v>0</v>
      </c>
    </row>
    <row r="102" spans="2:10" x14ac:dyDescent="0.25">
      <c r="B102" s="659">
        <f>Amnt_Deposited!B94</f>
        <v>2033</v>
      </c>
      <c r="C102" s="660">
        <f>Amnt_Deposited!H94</f>
        <v>0</v>
      </c>
      <c r="D102" s="661">
        <f>MCF!R101</f>
        <v>1</v>
      </c>
      <c r="E102" s="662">
        <f t="shared" si="12"/>
        <v>0</v>
      </c>
      <c r="F102" s="662">
        <f t="shared" si="13"/>
        <v>0</v>
      </c>
      <c r="G102" s="662">
        <f t="shared" si="14"/>
        <v>0</v>
      </c>
      <c r="H102" s="662">
        <f t="shared" si="15"/>
        <v>0</v>
      </c>
      <c r="I102" s="662">
        <f t="shared" si="16"/>
        <v>0</v>
      </c>
      <c r="J102" s="663">
        <f t="shared" si="17"/>
        <v>0</v>
      </c>
    </row>
    <row r="103" spans="2:10" x14ac:dyDescent="0.25">
      <c r="B103" s="659">
        <f>Amnt_Deposited!B95</f>
        <v>2034</v>
      </c>
      <c r="C103" s="660">
        <f>Amnt_Deposited!H95</f>
        <v>0</v>
      </c>
      <c r="D103" s="661">
        <f>MCF!R102</f>
        <v>1</v>
      </c>
      <c r="E103" s="662">
        <f t="shared" si="12"/>
        <v>0</v>
      </c>
      <c r="F103" s="662">
        <f t="shared" si="13"/>
        <v>0</v>
      </c>
      <c r="G103" s="662">
        <f t="shared" si="14"/>
        <v>0</v>
      </c>
      <c r="H103" s="662">
        <f t="shared" si="15"/>
        <v>0</v>
      </c>
      <c r="I103" s="662">
        <f t="shared" si="16"/>
        <v>0</v>
      </c>
      <c r="J103" s="663">
        <f t="shared" si="17"/>
        <v>0</v>
      </c>
    </row>
    <row r="104" spans="2:10" x14ac:dyDescent="0.25">
      <c r="B104" s="659">
        <f>Amnt_Deposited!B96</f>
        <v>2035</v>
      </c>
      <c r="C104" s="660">
        <f>Amnt_Deposited!H96</f>
        <v>0</v>
      </c>
      <c r="D104" s="661">
        <f>MCF!R103</f>
        <v>1</v>
      </c>
      <c r="E104" s="662">
        <f t="shared" si="12"/>
        <v>0</v>
      </c>
      <c r="F104" s="662">
        <f t="shared" si="13"/>
        <v>0</v>
      </c>
      <c r="G104" s="662">
        <f t="shared" si="14"/>
        <v>0</v>
      </c>
      <c r="H104" s="662">
        <f t="shared" si="15"/>
        <v>0</v>
      </c>
      <c r="I104" s="662">
        <f t="shared" si="16"/>
        <v>0</v>
      </c>
      <c r="J104" s="663">
        <f t="shared" si="17"/>
        <v>0</v>
      </c>
    </row>
    <row r="105" spans="2:10" x14ac:dyDescent="0.25">
      <c r="B105" s="659">
        <f>Amnt_Deposited!B97</f>
        <v>2036</v>
      </c>
      <c r="C105" s="660">
        <f>Amnt_Deposited!H97</f>
        <v>0</v>
      </c>
      <c r="D105" s="661">
        <f>MCF!R104</f>
        <v>1</v>
      </c>
      <c r="E105" s="662">
        <f t="shared" si="12"/>
        <v>0</v>
      </c>
      <c r="F105" s="662">
        <f t="shared" si="13"/>
        <v>0</v>
      </c>
      <c r="G105" s="662">
        <f t="shared" si="14"/>
        <v>0</v>
      </c>
      <c r="H105" s="662">
        <f t="shared" si="15"/>
        <v>0</v>
      </c>
      <c r="I105" s="662">
        <f t="shared" si="16"/>
        <v>0</v>
      </c>
      <c r="J105" s="663">
        <f t="shared" si="17"/>
        <v>0</v>
      </c>
    </row>
    <row r="106" spans="2:10" x14ac:dyDescent="0.25">
      <c r="B106" s="659">
        <f>Amnt_Deposited!B98</f>
        <v>2037</v>
      </c>
      <c r="C106" s="660">
        <f>Amnt_Deposited!H98</f>
        <v>0</v>
      </c>
      <c r="D106" s="661">
        <f>MCF!R105</f>
        <v>1</v>
      </c>
      <c r="E106" s="662">
        <f t="shared" si="12"/>
        <v>0</v>
      </c>
      <c r="F106" s="662">
        <f t="shared" si="13"/>
        <v>0</v>
      </c>
      <c r="G106" s="662">
        <f t="shared" si="14"/>
        <v>0</v>
      </c>
      <c r="H106" s="662">
        <f t="shared" si="15"/>
        <v>0</v>
      </c>
      <c r="I106" s="662">
        <f t="shared" si="16"/>
        <v>0</v>
      </c>
      <c r="J106" s="663">
        <f t="shared" si="17"/>
        <v>0</v>
      </c>
    </row>
    <row r="107" spans="2:10" x14ac:dyDescent="0.25">
      <c r="B107" s="659">
        <f>Amnt_Deposited!B99</f>
        <v>2038</v>
      </c>
      <c r="C107" s="660">
        <f>Amnt_Deposited!H99</f>
        <v>0</v>
      </c>
      <c r="D107" s="661">
        <f>MCF!R106</f>
        <v>1</v>
      </c>
      <c r="E107" s="662">
        <f t="shared" si="12"/>
        <v>0</v>
      </c>
      <c r="F107" s="662">
        <f t="shared" si="13"/>
        <v>0</v>
      </c>
      <c r="G107" s="662">
        <f t="shared" si="14"/>
        <v>0</v>
      </c>
      <c r="H107" s="662">
        <f t="shared" si="15"/>
        <v>0</v>
      </c>
      <c r="I107" s="662">
        <f t="shared" si="16"/>
        <v>0</v>
      </c>
      <c r="J107" s="663">
        <f t="shared" si="17"/>
        <v>0</v>
      </c>
    </row>
    <row r="108" spans="2:10" x14ac:dyDescent="0.25">
      <c r="B108" s="659">
        <f>Amnt_Deposited!B100</f>
        <v>2039</v>
      </c>
      <c r="C108" s="660">
        <f>Amnt_Deposited!H100</f>
        <v>0</v>
      </c>
      <c r="D108" s="661">
        <f>MCF!R107</f>
        <v>1</v>
      </c>
      <c r="E108" s="662">
        <f t="shared" si="12"/>
        <v>0</v>
      </c>
      <c r="F108" s="662">
        <f t="shared" si="13"/>
        <v>0</v>
      </c>
      <c r="G108" s="662">
        <f t="shared" si="14"/>
        <v>0</v>
      </c>
      <c r="H108" s="662">
        <f t="shared" si="15"/>
        <v>0</v>
      </c>
      <c r="I108" s="662">
        <f t="shared" si="16"/>
        <v>0</v>
      </c>
      <c r="J108" s="663">
        <f t="shared" si="17"/>
        <v>0</v>
      </c>
    </row>
    <row r="109" spans="2:10" ht="15.75" thickBot="1" x14ac:dyDescent="0.3">
      <c r="B109" s="664">
        <f>Amnt_Deposited!B101</f>
        <v>2040</v>
      </c>
      <c r="C109" s="665">
        <f>Amnt_Deposited!H101</f>
        <v>0</v>
      </c>
      <c r="D109" s="666">
        <f>MCF!R108</f>
        <v>1</v>
      </c>
      <c r="E109" s="667">
        <f t="shared" si="12"/>
        <v>0</v>
      </c>
      <c r="F109" s="667">
        <f t="shared" si="13"/>
        <v>0</v>
      </c>
      <c r="G109" s="667">
        <f t="shared" si="14"/>
        <v>0</v>
      </c>
      <c r="H109" s="667">
        <f t="shared" si="15"/>
        <v>0</v>
      </c>
      <c r="I109" s="667">
        <f t="shared" si="16"/>
        <v>0</v>
      </c>
      <c r="J109" s="668">
        <f t="shared" si="17"/>
        <v>0</v>
      </c>
    </row>
  </sheetData>
  <pageMargins left="0.7" right="0.7" top="0.78740157499999996" bottom="0.78740157499999996"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8"/>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42578125" style="281" customWidth="1"/>
    <col min="9" max="9" width="11.570312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42578125" style="44" customWidth="1"/>
    <col min="265" max="265" width="11.570312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42578125" style="44" customWidth="1"/>
    <col min="521" max="521" width="11.570312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42578125" style="44" customWidth="1"/>
    <col min="777" max="777" width="11.570312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42578125" style="44" customWidth="1"/>
    <col min="1033" max="1033" width="11.570312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42578125" style="44" customWidth="1"/>
    <col min="1289" max="1289" width="11.570312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42578125" style="44" customWidth="1"/>
    <col min="1545" max="1545" width="11.570312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42578125" style="44" customWidth="1"/>
    <col min="1801" max="1801" width="11.570312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42578125" style="44" customWidth="1"/>
    <col min="2057" max="2057" width="11.570312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42578125" style="44" customWidth="1"/>
    <col min="2313" max="2313" width="11.570312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42578125" style="44" customWidth="1"/>
    <col min="2569" max="2569" width="11.570312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42578125" style="44" customWidth="1"/>
    <col min="2825" max="2825" width="11.570312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42578125" style="44" customWidth="1"/>
    <col min="3081" max="3081" width="11.570312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42578125" style="44" customWidth="1"/>
    <col min="3337" max="3337" width="11.570312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42578125" style="44" customWidth="1"/>
    <col min="3593" max="3593" width="11.570312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42578125" style="44" customWidth="1"/>
    <col min="3849" max="3849" width="11.570312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42578125" style="44" customWidth="1"/>
    <col min="4105" max="4105" width="11.570312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42578125" style="44" customWidth="1"/>
    <col min="4361" max="4361" width="11.570312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42578125" style="44" customWidth="1"/>
    <col min="4617" max="4617" width="11.570312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42578125" style="44" customWidth="1"/>
    <col min="4873" max="4873" width="11.570312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42578125" style="44" customWidth="1"/>
    <col min="5129" max="5129" width="11.570312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42578125" style="44" customWidth="1"/>
    <col min="5385" max="5385" width="11.570312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42578125" style="44" customWidth="1"/>
    <col min="5641" max="5641" width="11.570312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42578125" style="44" customWidth="1"/>
    <col min="5897" max="5897" width="11.570312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42578125" style="44" customWidth="1"/>
    <col min="6153" max="6153" width="11.570312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42578125" style="44" customWidth="1"/>
    <col min="6409" max="6409" width="11.570312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42578125" style="44" customWidth="1"/>
    <col min="6665" max="6665" width="11.570312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42578125" style="44" customWidth="1"/>
    <col min="6921" max="6921" width="11.570312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42578125" style="44" customWidth="1"/>
    <col min="7177" max="7177" width="11.570312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42578125" style="44" customWidth="1"/>
    <col min="7433" max="7433" width="11.570312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42578125" style="44" customWidth="1"/>
    <col min="7689" max="7689" width="11.570312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42578125" style="44" customWidth="1"/>
    <col min="7945" max="7945" width="11.570312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42578125" style="44" customWidth="1"/>
    <col min="8201" max="8201" width="11.570312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42578125" style="44" customWidth="1"/>
    <col min="8457" max="8457" width="11.570312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42578125" style="44" customWidth="1"/>
    <col min="8713" max="8713" width="11.570312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42578125" style="44" customWidth="1"/>
    <col min="8969" max="8969" width="11.570312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42578125" style="44" customWidth="1"/>
    <col min="9225" max="9225" width="11.570312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42578125" style="44" customWidth="1"/>
    <col min="9481" max="9481" width="11.570312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42578125" style="44" customWidth="1"/>
    <col min="9737" max="9737" width="11.570312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42578125" style="44" customWidth="1"/>
    <col min="9993" max="9993" width="11.570312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42578125" style="44" customWidth="1"/>
    <col min="10249" max="10249" width="11.570312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42578125" style="44" customWidth="1"/>
    <col min="10505" max="10505" width="11.570312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42578125" style="44" customWidth="1"/>
    <col min="10761" max="10761" width="11.570312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42578125" style="44" customWidth="1"/>
    <col min="11017" max="11017" width="11.570312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42578125" style="44" customWidth="1"/>
    <col min="11273" max="11273" width="11.570312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42578125" style="44" customWidth="1"/>
    <col min="11529" max="11529" width="11.570312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42578125" style="44" customWidth="1"/>
    <col min="11785" max="11785" width="11.570312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42578125" style="44" customWidth="1"/>
    <col min="12041" max="12041" width="11.570312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42578125" style="44" customWidth="1"/>
    <col min="12297" max="12297" width="11.570312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42578125" style="44" customWidth="1"/>
    <col min="12553" max="12553" width="11.570312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42578125" style="44" customWidth="1"/>
    <col min="12809" max="12809" width="11.570312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42578125" style="44" customWidth="1"/>
    <col min="13065" max="13065" width="11.570312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42578125" style="44" customWidth="1"/>
    <col min="13321" max="13321" width="11.570312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42578125" style="44" customWidth="1"/>
    <col min="13577" max="13577" width="11.570312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42578125" style="44" customWidth="1"/>
    <col min="13833" max="13833" width="11.570312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42578125" style="44" customWidth="1"/>
    <col min="14089" max="14089" width="11.570312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42578125" style="44" customWidth="1"/>
    <col min="14345" max="14345" width="11.570312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42578125" style="44" customWidth="1"/>
    <col min="14601" max="14601" width="11.570312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42578125" style="44" customWidth="1"/>
    <col min="14857" max="14857" width="11.570312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42578125" style="44" customWidth="1"/>
    <col min="15113" max="15113" width="11.570312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42578125" style="44" customWidth="1"/>
    <col min="15369" max="15369" width="11.570312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42578125" style="44" customWidth="1"/>
    <col min="15625" max="15625" width="11.570312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42578125" style="44" customWidth="1"/>
    <col min="15881" max="15881" width="11.570312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42578125" style="44" customWidth="1"/>
    <col min="16137" max="16137" width="11.5703125" style="44" customWidth="1"/>
    <col min="16138" max="16138" width="10.28515625" style="44" customWidth="1"/>
    <col min="16139" max="16384" width="9.140625" style="44"/>
  </cols>
  <sheetData>
    <row r="2" spans="1:10" ht="15.75" x14ac:dyDescent="0.25">
      <c r="B2" s="669" t="s">
        <v>289</v>
      </c>
      <c r="C2" s="585"/>
      <c r="D2" s="586"/>
      <c r="E2" s="587"/>
      <c r="F2" s="587"/>
      <c r="G2" s="587"/>
      <c r="H2" s="587"/>
      <c r="I2" s="587"/>
      <c r="J2" s="587"/>
    </row>
    <row r="3" spans="1:10" ht="15.75" x14ac:dyDescent="0.25">
      <c r="B3" s="588"/>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02">
        <f>Parameters!M19</f>
        <v>0.05</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Parameters!M33</f>
        <v>0.185</v>
      </c>
      <c r="J8" s="609"/>
    </row>
    <row r="9" spans="1:10" ht="15.75" x14ac:dyDescent="0.3">
      <c r="D9" s="610" t="s">
        <v>260</v>
      </c>
      <c r="E9" s="611"/>
      <c r="F9" s="611"/>
      <c r="G9" s="612"/>
      <c r="H9" s="613" t="s">
        <v>261</v>
      </c>
      <c r="I9" s="614">
        <f>LN(2)/$I$8</f>
        <v>3.7467415165402449</v>
      </c>
      <c r="J9" s="609"/>
    </row>
    <row r="10" spans="1:10" x14ac:dyDescent="0.25">
      <c r="D10" s="615" t="s">
        <v>262</v>
      </c>
      <c r="E10" s="616"/>
      <c r="F10" s="616"/>
      <c r="G10" s="617"/>
      <c r="H10" s="618" t="s">
        <v>263</v>
      </c>
      <c r="I10" s="619">
        <f>EXP(-$I$8)</f>
        <v>0.83110428385212565</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81">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48"/>
      <c r="D18" s="649"/>
      <c r="E18" s="650"/>
      <c r="F18" s="651"/>
      <c r="G18" s="651"/>
      <c r="H18" s="651"/>
      <c r="I18" s="651"/>
      <c r="J18" s="652"/>
    </row>
    <row r="19" spans="2:10" x14ac:dyDescent="0.25">
      <c r="B19" s="653">
        <f>Amnt_Deposited!B11</f>
        <v>1950</v>
      </c>
      <c r="C19" s="654">
        <f>Amnt_Deposited!I11</f>
        <v>0</v>
      </c>
      <c r="D19" s="655">
        <f>MCF!R18</f>
        <v>0.6</v>
      </c>
      <c r="E19" s="656">
        <f>C19*$I$6*DOCF*D19</f>
        <v>0</v>
      </c>
      <c r="F19" s="657">
        <f t="shared" ref="F19:F82" si="0">E19*$I$12</f>
        <v>0</v>
      </c>
      <c r="G19" s="657">
        <f>E19*(1-$I$12)</f>
        <v>0</v>
      </c>
      <c r="H19" s="657">
        <f>F19+H18*$I$10</f>
        <v>0</v>
      </c>
      <c r="I19" s="657">
        <f>H18*(1-$I$10)+G19</f>
        <v>0</v>
      </c>
      <c r="J19" s="658">
        <f>I19*CH4_fraction*conv</f>
        <v>0</v>
      </c>
    </row>
    <row r="20" spans="2:10" x14ac:dyDescent="0.25">
      <c r="B20" s="659">
        <f>Amnt_Deposited!B12</f>
        <v>1951</v>
      </c>
      <c r="C20" s="660">
        <f>Amnt_Deposited!I12</f>
        <v>0</v>
      </c>
      <c r="D20" s="661">
        <f>MCF!R19</f>
        <v>0.6</v>
      </c>
      <c r="E20" s="662">
        <f t="shared" ref="E20:E83" si="1">C20*$I$6*DOCF*D20</f>
        <v>0</v>
      </c>
      <c r="F20" s="662">
        <f t="shared" si="0"/>
        <v>0</v>
      </c>
      <c r="G20" s="662">
        <f t="shared" ref="G20:G83" si="2">E20*(1-$I$12)</f>
        <v>0</v>
      </c>
      <c r="H20" s="662">
        <f t="shared" ref="H20:H83" si="3">F20+H19*$I$10</f>
        <v>0</v>
      </c>
      <c r="I20" s="662">
        <f t="shared" ref="I20:I83" si="4">H19*(1-$I$10)+G20</f>
        <v>0</v>
      </c>
      <c r="J20" s="663">
        <f>I20*CH4_fraction*conv</f>
        <v>0</v>
      </c>
    </row>
    <row r="21" spans="2:10" x14ac:dyDescent="0.25">
      <c r="B21" s="659">
        <f>Amnt_Deposited!B13</f>
        <v>1952</v>
      </c>
      <c r="C21" s="660">
        <f>Amnt_Deposited!I13</f>
        <v>0</v>
      </c>
      <c r="D21" s="661">
        <f>MCF!R20</f>
        <v>0.6</v>
      </c>
      <c r="E21" s="662">
        <f t="shared" si="1"/>
        <v>0</v>
      </c>
      <c r="F21" s="662">
        <f t="shared" si="0"/>
        <v>0</v>
      </c>
      <c r="G21" s="662">
        <f t="shared" si="2"/>
        <v>0</v>
      </c>
      <c r="H21" s="662">
        <f t="shared" si="3"/>
        <v>0</v>
      </c>
      <c r="I21" s="662">
        <f t="shared" si="4"/>
        <v>0</v>
      </c>
      <c r="J21" s="663">
        <f t="shared" ref="J21:J84" si="5">I21*CH4_fraction*conv</f>
        <v>0</v>
      </c>
    </row>
    <row r="22" spans="2:10" x14ac:dyDescent="0.25">
      <c r="B22" s="659">
        <f>Amnt_Deposited!B14</f>
        <v>1953</v>
      </c>
      <c r="C22" s="660">
        <f>Amnt_Deposited!I14</f>
        <v>0</v>
      </c>
      <c r="D22" s="661">
        <f>MCF!R21</f>
        <v>0.6</v>
      </c>
      <c r="E22" s="662">
        <f t="shared" si="1"/>
        <v>0</v>
      </c>
      <c r="F22" s="662">
        <f t="shared" si="0"/>
        <v>0</v>
      </c>
      <c r="G22" s="662">
        <f t="shared" si="2"/>
        <v>0</v>
      </c>
      <c r="H22" s="662">
        <f t="shared" si="3"/>
        <v>0</v>
      </c>
      <c r="I22" s="662">
        <f t="shared" si="4"/>
        <v>0</v>
      </c>
      <c r="J22" s="663">
        <f t="shared" si="5"/>
        <v>0</v>
      </c>
    </row>
    <row r="23" spans="2:10" x14ac:dyDescent="0.25">
      <c r="B23" s="659">
        <f>Amnt_Deposited!B15</f>
        <v>1954</v>
      </c>
      <c r="C23" s="660">
        <f>Amnt_Deposited!I15</f>
        <v>0</v>
      </c>
      <c r="D23" s="661">
        <f>MCF!R22</f>
        <v>0.6</v>
      </c>
      <c r="E23" s="662">
        <f t="shared" si="1"/>
        <v>0</v>
      </c>
      <c r="F23" s="662">
        <f t="shared" si="0"/>
        <v>0</v>
      </c>
      <c r="G23" s="662">
        <f t="shared" si="2"/>
        <v>0</v>
      </c>
      <c r="H23" s="662">
        <f t="shared" si="3"/>
        <v>0</v>
      </c>
      <c r="I23" s="662">
        <f t="shared" si="4"/>
        <v>0</v>
      </c>
      <c r="J23" s="663">
        <f t="shared" si="5"/>
        <v>0</v>
      </c>
    </row>
    <row r="24" spans="2:10" x14ac:dyDescent="0.25">
      <c r="B24" s="659">
        <f>Amnt_Deposited!B16</f>
        <v>1955</v>
      </c>
      <c r="C24" s="660">
        <f>Amnt_Deposited!I16</f>
        <v>0</v>
      </c>
      <c r="D24" s="661">
        <f>MCF!R23</f>
        <v>0.6</v>
      </c>
      <c r="E24" s="662">
        <f t="shared" si="1"/>
        <v>0</v>
      </c>
      <c r="F24" s="662">
        <f t="shared" si="0"/>
        <v>0</v>
      </c>
      <c r="G24" s="662">
        <f t="shared" si="2"/>
        <v>0</v>
      </c>
      <c r="H24" s="662">
        <f t="shared" si="3"/>
        <v>0</v>
      </c>
      <c r="I24" s="662">
        <f t="shared" si="4"/>
        <v>0</v>
      </c>
      <c r="J24" s="663">
        <f t="shared" si="5"/>
        <v>0</v>
      </c>
    </row>
    <row r="25" spans="2:10" x14ac:dyDescent="0.25">
      <c r="B25" s="659">
        <f>Amnt_Deposited!B17</f>
        <v>1956</v>
      </c>
      <c r="C25" s="660">
        <f>Amnt_Deposited!I17</f>
        <v>0</v>
      </c>
      <c r="D25" s="661">
        <f>MCF!R24</f>
        <v>0.6</v>
      </c>
      <c r="E25" s="662">
        <f t="shared" si="1"/>
        <v>0</v>
      </c>
      <c r="F25" s="662">
        <f t="shared" si="0"/>
        <v>0</v>
      </c>
      <c r="G25" s="662">
        <f t="shared" si="2"/>
        <v>0</v>
      </c>
      <c r="H25" s="662">
        <f t="shared" si="3"/>
        <v>0</v>
      </c>
      <c r="I25" s="662">
        <f t="shared" si="4"/>
        <v>0</v>
      </c>
      <c r="J25" s="663">
        <f t="shared" si="5"/>
        <v>0</v>
      </c>
    </row>
    <row r="26" spans="2:10" x14ac:dyDescent="0.25">
      <c r="B26" s="659">
        <f>Amnt_Deposited!B18</f>
        <v>1957</v>
      </c>
      <c r="C26" s="660">
        <f>Amnt_Deposited!I18</f>
        <v>0</v>
      </c>
      <c r="D26" s="661">
        <f>MCF!R25</f>
        <v>0.6</v>
      </c>
      <c r="E26" s="662">
        <f t="shared" si="1"/>
        <v>0</v>
      </c>
      <c r="F26" s="662">
        <f t="shared" si="0"/>
        <v>0</v>
      </c>
      <c r="G26" s="662">
        <f t="shared" si="2"/>
        <v>0</v>
      </c>
      <c r="H26" s="662">
        <f t="shared" si="3"/>
        <v>0</v>
      </c>
      <c r="I26" s="662">
        <f t="shared" si="4"/>
        <v>0</v>
      </c>
      <c r="J26" s="663">
        <f t="shared" si="5"/>
        <v>0</v>
      </c>
    </row>
    <row r="27" spans="2:10" x14ac:dyDescent="0.25">
      <c r="B27" s="659">
        <f>Amnt_Deposited!B19</f>
        <v>1958</v>
      </c>
      <c r="C27" s="660">
        <f>Amnt_Deposited!I19</f>
        <v>0</v>
      </c>
      <c r="D27" s="661">
        <f>MCF!R26</f>
        <v>0.6</v>
      </c>
      <c r="E27" s="662">
        <f t="shared" si="1"/>
        <v>0</v>
      </c>
      <c r="F27" s="662">
        <f t="shared" si="0"/>
        <v>0</v>
      </c>
      <c r="G27" s="662">
        <f t="shared" si="2"/>
        <v>0</v>
      </c>
      <c r="H27" s="662">
        <f t="shared" si="3"/>
        <v>0</v>
      </c>
      <c r="I27" s="662">
        <f t="shared" si="4"/>
        <v>0</v>
      </c>
      <c r="J27" s="663">
        <f t="shared" si="5"/>
        <v>0</v>
      </c>
    </row>
    <row r="28" spans="2:10" x14ac:dyDescent="0.25">
      <c r="B28" s="659">
        <f>Amnt_Deposited!B20</f>
        <v>1959</v>
      </c>
      <c r="C28" s="660">
        <f>Amnt_Deposited!I20</f>
        <v>0</v>
      </c>
      <c r="D28" s="661">
        <f>MCF!R27</f>
        <v>0.6</v>
      </c>
      <c r="E28" s="662">
        <f t="shared" si="1"/>
        <v>0</v>
      </c>
      <c r="F28" s="662">
        <f t="shared" si="0"/>
        <v>0</v>
      </c>
      <c r="G28" s="662">
        <f t="shared" si="2"/>
        <v>0</v>
      </c>
      <c r="H28" s="662">
        <f t="shared" si="3"/>
        <v>0</v>
      </c>
      <c r="I28" s="662">
        <f t="shared" si="4"/>
        <v>0</v>
      </c>
      <c r="J28" s="663">
        <f t="shared" si="5"/>
        <v>0</v>
      </c>
    </row>
    <row r="29" spans="2:10" x14ac:dyDescent="0.25">
      <c r="B29" s="659">
        <f>Amnt_Deposited!B21</f>
        <v>1960</v>
      </c>
      <c r="C29" s="660">
        <f>Amnt_Deposited!I21</f>
        <v>0</v>
      </c>
      <c r="D29" s="661">
        <f>MCF!R28</f>
        <v>0.6</v>
      </c>
      <c r="E29" s="662">
        <f t="shared" si="1"/>
        <v>0</v>
      </c>
      <c r="F29" s="662">
        <f t="shared" si="0"/>
        <v>0</v>
      </c>
      <c r="G29" s="662">
        <f t="shared" si="2"/>
        <v>0</v>
      </c>
      <c r="H29" s="662">
        <f t="shared" si="3"/>
        <v>0</v>
      </c>
      <c r="I29" s="662">
        <f t="shared" si="4"/>
        <v>0</v>
      </c>
      <c r="J29" s="663">
        <f t="shared" si="5"/>
        <v>0</v>
      </c>
    </row>
    <row r="30" spans="2:10" x14ac:dyDescent="0.25">
      <c r="B30" s="659">
        <f>Amnt_Deposited!B22</f>
        <v>1961</v>
      </c>
      <c r="C30" s="660">
        <f>Amnt_Deposited!I22</f>
        <v>0</v>
      </c>
      <c r="D30" s="661">
        <f>MCF!R29</f>
        <v>0.6</v>
      </c>
      <c r="E30" s="662">
        <f t="shared" si="1"/>
        <v>0</v>
      </c>
      <c r="F30" s="662">
        <f t="shared" si="0"/>
        <v>0</v>
      </c>
      <c r="G30" s="662">
        <f t="shared" si="2"/>
        <v>0</v>
      </c>
      <c r="H30" s="662">
        <f t="shared" si="3"/>
        <v>0</v>
      </c>
      <c r="I30" s="662">
        <f t="shared" si="4"/>
        <v>0</v>
      </c>
      <c r="J30" s="663">
        <f t="shared" si="5"/>
        <v>0</v>
      </c>
    </row>
    <row r="31" spans="2:10" x14ac:dyDescent="0.25">
      <c r="B31" s="659">
        <f>Amnt_Deposited!B23</f>
        <v>1962</v>
      </c>
      <c r="C31" s="660">
        <f>Amnt_Deposited!I23</f>
        <v>0</v>
      </c>
      <c r="D31" s="661">
        <f>MCF!R30</f>
        <v>0.6</v>
      </c>
      <c r="E31" s="662">
        <f t="shared" si="1"/>
        <v>0</v>
      </c>
      <c r="F31" s="662">
        <f t="shared" si="0"/>
        <v>0</v>
      </c>
      <c r="G31" s="662">
        <f t="shared" si="2"/>
        <v>0</v>
      </c>
      <c r="H31" s="662">
        <f t="shared" si="3"/>
        <v>0</v>
      </c>
      <c r="I31" s="662">
        <f t="shared" si="4"/>
        <v>0</v>
      </c>
      <c r="J31" s="663">
        <f t="shared" si="5"/>
        <v>0</v>
      </c>
    </row>
    <row r="32" spans="2:10" x14ac:dyDescent="0.25">
      <c r="B32" s="659">
        <f>Amnt_Deposited!B24</f>
        <v>1963</v>
      </c>
      <c r="C32" s="660">
        <f>Amnt_Deposited!I24</f>
        <v>0</v>
      </c>
      <c r="D32" s="661">
        <f>MCF!R31</f>
        <v>0.6</v>
      </c>
      <c r="E32" s="662">
        <f t="shared" si="1"/>
        <v>0</v>
      </c>
      <c r="F32" s="662">
        <f t="shared" si="0"/>
        <v>0</v>
      </c>
      <c r="G32" s="662">
        <f t="shared" si="2"/>
        <v>0</v>
      </c>
      <c r="H32" s="662">
        <f t="shared" si="3"/>
        <v>0</v>
      </c>
      <c r="I32" s="662">
        <f t="shared" si="4"/>
        <v>0</v>
      </c>
      <c r="J32" s="663">
        <f t="shared" si="5"/>
        <v>0</v>
      </c>
    </row>
    <row r="33" spans="2:10" x14ac:dyDescent="0.25">
      <c r="B33" s="659">
        <f>Amnt_Deposited!B25</f>
        <v>1964</v>
      </c>
      <c r="C33" s="660">
        <f>Amnt_Deposited!I25</f>
        <v>0</v>
      </c>
      <c r="D33" s="661">
        <f>MCF!R32</f>
        <v>0.6</v>
      </c>
      <c r="E33" s="662">
        <f t="shared" si="1"/>
        <v>0</v>
      </c>
      <c r="F33" s="662">
        <f t="shared" si="0"/>
        <v>0</v>
      </c>
      <c r="G33" s="662">
        <f t="shared" si="2"/>
        <v>0</v>
      </c>
      <c r="H33" s="662">
        <f t="shared" si="3"/>
        <v>0</v>
      </c>
      <c r="I33" s="662">
        <f t="shared" si="4"/>
        <v>0</v>
      </c>
      <c r="J33" s="663">
        <f t="shared" si="5"/>
        <v>0</v>
      </c>
    </row>
    <row r="34" spans="2:10" x14ac:dyDescent="0.25">
      <c r="B34" s="659">
        <f>Amnt_Deposited!B26</f>
        <v>1965</v>
      </c>
      <c r="C34" s="660">
        <f>Amnt_Deposited!I26</f>
        <v>0</v>
      </c>
      <c r="D34" s="661">
        <f>MCF!R33</f>
        <v>0.6</v>
      </c>
      <c r="E34" s="662">
        <f t="shared" si="1"/>
        <v>0</v>
      </c>
      <c r="F34" s="662">
        <f t="shared" si="0"/>
        <v>0</v>
      </c>
      <c r="G34" s="662">
        <f t="shared" si="2"/>
        <v>0</v>
      </c>
      <c r="H34" s="662">
        <f t="shared" si="3"/>
        <v>0</v>
      </c>
      <c r="I34" s="662">
        <f t="shared" si="4"/>
        <v>0</v>
      </c>
      <c r="J34" s="663">
        <f t="shared" si="5"/>
        <v>0</v>
      </c>
    </row>
    <row r="35" spans="2:10" x14ac:dyDescent="0.25">
      <c r="B35" s="659">
        <f>Amnt_Deposited!B27</f>
        <v>1966</v>
      </c>
      <c r="C35" s="660">
        <f>Amnt_Deposited!I27</f>
        <v>0</v>
      </c>
      <c r="D35" s="661">
        <f>MCF!R34</f>
        <v>0.6</v>
      </c>
      <c r="E35" s="662">
        <f t="shared" si="1"/>
        <v>0</v>
      </c>
      <c r="F35" s="662">
        <f t="shared" si="0"/>
        <v>0</v>
      </c>
      <c r="G35" s="662">
        <f t="shared" si="2"/>
        <v>0</v>
      </c>
      <c r="H35" s="662">
        <f t="shared" si="3"/>
        <v>0</v>
      </c>
      <c r="I35" s="662">
        <f t="shared" si="4"/>
        <v>0</v>
      </c>
      <c r="J35" s="663">
        <f t="shared" si="5"/>
        <v>0</v>
      </c>
    </row>
    <row r="36" spans="2:10" x14ac:dyDescent="0.25">
      <c r="B36" s="659">
        <f>Amnt_Deposited!B28</f>
        <v>1967</v>
      </c>
      <c r="C36" s="660">
        <f>Amnt_Deposited!I28</f>
        <v>0</v>
      </c>
      <c r="D36" s="661">
        <f>MCF!R35</f>
        <v>0.6</v>
      </c>
      <c r="E36" s="662">
        <f t="shared" si="1"/>
        <v>0</v>
      </c>
      <c r="F36" s="662">
        <f t="shared" si="0"/>
        <v>0</v>
      </c>
      <c r="G36" s="662">
        <f t="shared" si="2"/>
        <v>0</v>
      </c>
      <c r="H36" s="662">
        <f t="shared" si="3"/>
        <v>0</v>
      </c>
      <c r="I36" s="662">
        <f t="shared" si="4"/>
        <v>0</v>
      </c>
      <c r="J36" s="663">
        <f t="shared" si="5"/>
        <v>0</v>
      </c>
    </row>
    <row r="37" spans="2:10" x14ac:dyDescent="0.25">
      <c r="B37" s="659">
        <f>Amnt_Deposited!B29</f>
        <v>1968</v>
      </c>
      <c r="C37" s="660">
        <f>Amnt_Deposited!I29</f>
        <v>0</v>
      </c>
      <c r="D37" s="661">
        <f>MCF!R36</f>
        <v>0.6</v>
      </c>
      <c r="E37" s="662">
        <f t="shared" si="1"/>
        <v>0</v>
      </c>
      <c r="F37" s="662">
        <f t="shared" si="0"/>
        <v>0</v>
      </c>
      <c r="G37" s="662">
        <f t="shared" si="2"/>
        <v>0</v>
      </c>
      <c r="H37" s="662">
        <f t="shared" si="3"/>
        <v>0</v>
      </c>
      <c r="I37" s="662">
        <f t="shared" si="4"/>
        <v>0</v>
      </c>
      <c r="J37" s="663">
        <f t="shared" si="5"/>
        <v>0</v>
      </c>
    </row>
    <row r="38" spans="2:10" x14ac:dyDescent="0.25">
      <c r="B38" s="659">
        <f>Amnt_Deposited!B30</f>
        <v>1969</v>
      </c>
      <c r="C38" s="660">
        <f>Amnt_Deposited!I30</f>
        <v>0</v>
      </c>
      <c r="D38" s="661">
        <f>MCF!R37</f>
        <v>0.6</v>
      </c>
      <c r="E38" s="662">
        <f t="shared" si="1"/>
        <v>0</v>
      </c>
      <c r="F38" s="662">
        <f t="shared" si="0"/>
        <v>0</v>
      </c>
      <c r="G38" s="662">
        <f t="shared" si="2"/>
        <v>0</v>
      </c>
      <c r="H38" s="662">
        <f t="shared" si="3"/>
        <v>0</v>
      </c>
      <c r="I38" s="662">
        <f t="shared" si="4"/>
        <v>0</v>
      </c>
      <c r="J38" s="663">
        <f t="shared" si="5"/>
        <v>0</v>
      </c>
    </row>
    <row r="39" spans="2:10" x14ac:dyDescent="0.25">
      <c r="B39" s="659">
        <f>Amnt_Deposited!B31</f>
        <v>1970</v>
      </c>
      <c r="C39" s="660">
        <f>Amnt_Deposited!I31</f>
        <v>0</v>
      </c>
      <c r="D39" s="661">
        <f>MCF!R38</f>
        <v>0.8</v>
      </c>
      <c r="E39" s="662">
        <f t="shared" si="1"/>
        <v>0</v>
      </c>
      <c r="F39" s="662">
        <f t="shared" si="0"/>
        <v>0</v>
      </c>
      <c r="G39" s="662">
        <f t="shared" si="2"/>
        <v>0</v>
      </c>
      <c r="H39" s="662">
        <f t="shared" si="3"/>
        <v>0</v>
      </c>
      <c r="I39" s="662">
        <f t="shared" si="4"/>
        <v>0</v>
      </c>
      <c r="J39" s="663">
        <f t="shared" si="5"/>
        <v>0</v>
      </c>
    </row>
    <row r="40" spans="2:10" x14ac:dyDescent="0.25">
      <c r="B40" s="659">
        <f>Amnt_Deposited!B32</f>
        <v>1971</v>
      </c>
      <c r="C40" s="660">
        <f>Amnt_Deposited!I32</f>
        <v>0</v>
      </c>
      <c r="D40" s="661">
        <f>MCF!R39</f>
        <v>0.8</v>
      </c>
      <c r="E40" s="662">
        <f t="shared" si="1"/>
        <v>0</v>
      </c>
      <c r="F40" s="662">
        <f t="shared" si="0"/>
        <v>0</v>
      </c>
      <c r="G40" s="662">
        <f t="shared" si="2"/>
        <v>0</v>
      </c>
      <c r="H40" s="662">
        <f t="shared" si="3"/>
        <v>0</v>
      </c>
      <c r="I40" s="662">
        <f t="shared" si="4"/>
        <v>0</v>
      </c>
      <c r="J40" s="663">
        <f t="shared" si="5"/>
        <v>0</v>
      </c>
    </row>
    <row r="41" spans="2:10" x14ac:dyDescent="0.25">
      <c r="B41" s="659">
        <f>Amnt_Deposited!B33</f>
        <v>1972</v>
      </c>
      <c r="C41" s="660">
        <f>Amnt_Deposited!I33</f>
        <v>0</v>
      </c>
      <c r="D41" s="661">
        <f>MCF!R40</f>
        <v>0.8</v>
      </c>
      <c r="E41" s="662">
        <f t="shared" si="1"/>
        <v>0</v>
      </c>
      <c r="F41" s="662">
        <f t="shared" si="0"/>
        <v>0</v>
      </c>
      <c r="G41" s="662">
        <f t="shared" si="2"/>
        <v>0</v>
      </c>
      <c r="H41" s="662">
        <f t="shared" si="3"/>
        <v>0</v>
      </c>
      <c r="I41" s="662">
        <f t="shared" si="4"/>
        <v>0</v>
      </c>
      <c r="J41" s="663">
        <f t="shared" si="5"/>
        <v>0</v>
      </c>
    </row>
    <row r="42" spans="2:10" x14ac:dyDescent="0.25">
      <c r="B42" s="659">
        <f>Amnt_Deposited!B34</f>
        <v>1973</v>
      </c>
      <c r="C42" s="660">
        <f>Amnt_Deposited!I34</f>
        <v>0</v>
      </c>
      <c r="D42" s="661">
        <f>MCF!R41</f>
        <v>0.8</v>
      </c>
      <c r="E42" s="662">
        <f t="shared" si="1"/>
        <v>0</v>
      </c>
      <c r="F42" s="662">
        <f t="shared" si="0"/>
        <v>0</v>
      </c>
      <c r="G42" s="662">
        <f t="shared" si="2"/>
        <v>0</v>
      </c>
      <c r="H42" s="662">
        <f t="shared" si="3"/>
        <v>0</v>
      </c>
      <c r="I42" s="662">
        <f t="shared" si="4"/>
        <v>0</v>
      </c>
      <c r="J42" s="663">
        <f t="shared" si="5"/>
        <v>0</v>
      </c>
    </row>
    <row r="43" spans="2:10" x14ac:dyDescent="0.25">
      <c r="B43" s="659">
        <f>Amnt_Deposited!B35</f>
        <v>1974</v>
      </c>
      <c r="C43" s="660">
        <f>Amnt_Deposited!I35</f>
        <v>0</v>
      </c>
      <c r="D43" s="661">
        <f>MCF!R42</f>
        <v>0.8</v>
      </c>
      <c r="E43" s="662">
        <f t="shared" si="1"/>
        <v>0</v>
      </c>
      <c r="F43" s="662">
        <f t="shared" si="0"/>
        <v>0</v>
      </c>
      <c r="G43" s="662">
        <f t="shared" si="2"/>
        <v>0</v>
      </c>
      <c r="H43" s="662">
        <f t="shared" si="3"/>
        <v>0</v>
      </c>
      <c r="I43" s="662">
        <f t="shared" si="4"/>
        <v>0</v>
      </c>
      <c r="J43" s="663">
        <f t="shared" si="5"/>
        <v>0</v>
      </c>
    </row>
    <row r="44" spans="2:10" x14ac:dyDescent="0.25">
      <c r="B44" s="659">
        <f>Amnt_Deposited!B36</f>
        <v>1975</v>
      </c>
      <c r="C44" s="660">
        <f>Amnt_Deposited!I36</f>
        <v>0</v>
      </c>
      <c r="D44" s="661">
        <f>MCF!R43</f>
        <v>0.8</v>
      </c>
      <c r="E44" s="662">
        <f t="shared" si="1"/>
        <v>0</v>
      </c>
      <c r="F44" s="662">
        <f t="shared" si="0"/>
        <v>0</v>
      </c>
      <c r="G44" s="662">
        <f t="shared" si="2"/>
        <v>0</v>
      </c>
      <c r="H44" s="662">
        <f t="shared" si="3"/>
        <v>0</v>
      </c>
      <c r="I44" s="662">
        <f t="shared" si="4"/>
        <v>0</v>
      </c>
      <c r="J44" s="663">
        <f t="shared" si="5"/>
        <v>0</v>
      </c>
    </row>
    <row r="45" spans="2:10" x14ac:dyDescent="0.25">
      <c r="B45" s="659">
        <f>Amnt_Deposited!B37</f>
        <v>1976</v>
      </c>
      <c r="C45" s="660">
        <f>Amnt_Deposited!I37</f>
        <v>0</v>
      </c>
      <c r="D45" s="661">
        <f>MCF!R44</f>
        <v>0.8</v>
      </c>
      <c r="E45" s="662">
        <f t="shared" si="1"/>
        <v>0</v>
      </c>
      <c r="F45" s="662">
        <f t="shared" si="0"/>
        <v>0</v>
      </c>
      <c r="G45" s="662">
        <f t="shared" si="2"/>
        <v>0</v>
      </c>
      <c r="H45" s="662">
        <f t="shared" si="3"/>
        <v>0</v>
      </c>
      <c r="I45" s="662">
        <f t="shared" si="4"/>
        <v>0</v>
      </c>
      <c r="J45" s="663">
        <f t="shared" si="5"/>
        <v>0</v>
      </c>
    </row>
    <row r="46" spans="2:10" x14ac:dyDescent="0.25">
      <c r="B46" s="659">
        <f>Amnt_Deposited!B38</f>
        <v>1977</v>
      </c>
      <c r="C46" s="660">
        <f>Amnt_Deposited!I38</f>
        <v>0</v>
      </c>
      <c r="D46" s="661">
        <f>MCF!R45</f>
        <v>0.8</v>
      </c>
      <c r="E46" s="662">
        <f t="shared" si="1"/>
        <v>0</v>
      </c>
      <c r="F46" s="662">
        <f t="shared" si="0"/>
        <v>0</v>
      </c>
      <c r="G46" s="662">
        <f t="shared" si="2"/>
        <v>0</v>
      </c>
      <c r="H46" s="662">
        <f t="shared" si="3"/>
        <v>0</v>
      </c>
      <c r="I46" s="662">
        <f t="shared" si="4"/>
        <v>0</v>
      </c>
      <c r="J46" s="663">
        <f t="shared" si="5"/>
        <v>0</v>
      </c>
    </row>
    <row r="47" spans="2:10" x14ac:dyDescent="0.25">
      <c r="B47" s="659">
        <f>Amnt_Deposited!B39</f>
        <v>1978</v>
      </c>
      <c r="C47" s="660">
        <f>Amnt_Deposited!I39</f>
        <v>0</v>
      </c>
      <c r="D47" s="661">
        <f>MCF!R46</f>
        <v>0.8</v>
      </c>
      <c r="E47" s="662">
        <f t="shared" si="1"/>
        <v>0</v>
      </c>
      <c r="F47" s="662">
        <f t="shared" si="0"/>
        <v>0</v>
      </c>
      <c r="G47" s="662">
        <f t="shared" si="2"/>
        <v>0</v>
      </c>
      <c r="H47" s="662">
        <f t="shared" si="3"/>
        <v>0</v>
      </c>
      <c r="I47" s="662">
        <f t="shared" si="4"/>
        <v>0</v>
      </c>
      <c r="J47" s="663">
        <f t="shared" si="5"/>
        <v>0</v>
      </c>
    </row>
    <row r="48" spans="2:10" x14ac:dyDescent="0.25">
      <c r="B48" s="659">
        <f>Amnt_Deposited!B40</f>
        <v>1979</v>
      </c>
      <c r="C48" s="660">
        <f>Amnt_Deposited!I40</f>
        <v>0</v>
      </c>
      <c r="D48" s="661">
        <f>MCF!R47</f>
        <v>0.8</v>
      </c>
      <c r="E48" s="662">
        <f t="shared" si="1"/>
        <v>0</v>
      </c>
      <c r="F48" s="662">
        <f t="shared" si="0"/>
        <v>0</v>
      </c>
      <c r="G48" s="662">
        <f t="shared" si="2"/>
        <v>0</v>
      </c>
      <c r="H48" s="662">
        <f t="shared" si="3"/>
        <v>0</v>
      </c>
      <c r="I48" s="662">
        <f t="shared" si="4"/>
        <v>0</v>
      </c>
      <c r="J48" s="663">
        <f t="shared" si="5"/>
        <v>0</v>
      </c>
    </row>
    <row r="49" spans="2:10" x14ac:dyDescent="0.25">
      <c r="B49" s="659">
        <f>Amnt_Deposited!B41</f>
        <v>1980</v>
      </c>
      <c r="C49" s="660">
        <f>Amnt_Deposited!I41</f>
        <v>0</v>
      </c>
      <c r="D49" s="661">
        <f>MCF!R48</f>
        <v>0.9</v>
      </c>
      <c r="E49" s="662">
        <f t="shared" si="1"/>
        <v>0</v>
      </c>
      <c r="F49" s="662">
        <f t="shared" si="0"/>
        <v>0</v>
      </c>
      <c r="G49" s="662">
        <f t="shared" si="2"/>
        <v>0</v>
      </c>
      <c r="H49" s="662">
        <f t="shared" si="3"/>
        <v>0</v>
      </c>
      <c r="I49" s="662">
        <f t="shared" si="4"/>
        <v>0</v>
      </c>
      <c r="J49" s="663">
        <f t="shared" si="5"/>
        <v>0</v>
      </c>
    </row>
    <row r="50" spans="2:10" x14ac:dyDescent="0.25">
      <c r="B50" s="659">
        <f>Amnt_Deposited!B42</f>
        <v>1981</v>
      </c>
      <c r="C50" s="660">
        <f>Amnt_Deposited!I42</f>
        <v>0</v>
      </c>
      <c r="D50" s="661">
        <f>MCF!R49</f>
        <v>0.9</v>
      </c>
      <c r="E50" s="662">
        <f t="shared" si="1"/>
        <v>0</v>
      </c>
      <c r="F50" s="662">
        <f t="shared" si="0"/>
        <v>0</v>
      </c>
      <c r="G50" s="662">
        <f t="shared" si="2"/>
        <v>0</v>
      </c>
      <c r="H50" s="662">
        <f t="shared" si="3"/>
        <v>0</v>
      </c>
      <c r="I50" s="662">
        <f t="shared" si="4"/>
        <v>0</v>
      </c>
      <c r="J50" s="663">
        <f t="shared" si="5"/>
        <v>0</v>
      </c>
    </row>
    <row r="51" spans="2:10" x14ac:dyDescent="0.25">
      <c r="B51" s="659">
        <f>Amnt_Deposited!B43</f>
        <v>1982</v>
      </c>
      <c r="C51" s="660">
        <f>Amnt_Deposited!I43</f>
        <v>0</v>
      </c>
      <c r="D51" s="661">
        <f>MCF!R50</f>
        <v>0.9</v>
      </c>
      <c r="E51" s="662">
        <f t="shared" si="1"/>
        <v>0</v>
      </c>
      <c r="F51" s="662">
        <f t="shared" si="0"/>
        <v>0</v>
      </c>
      <c r="G51" s="662">
        <f t="shared" si="2"/>
        <v>0</v>
      </c>
      <c r="H51" s="662">
        <f t="shared" si="3"/>
        <v>0</v>
      </c>
      <c r="I51" s="662">
        <f t="shared" si="4"/>
        <v>0</v>
      </c>
      <c r="J51" s="663">
        <f t="shared" si="5"/>
        <v>0</v>
      </c>
    </row>
    <row r="52" spans="2:10" x14ac:dyDescent="0.25">
      <c r="B52" s="659">
        <f>Amnt_Deposited!B44</f>
        <v>1983</v>
      </c>
      <c r="C52" s="660">
        <f>Amnt_Deposited!I44</f>
        <v>0</v>
      </c>
      <c r="D52" s="661">
        <f>MCF!R51</f>
        <v>0.9</v>
      </c>
      <c r="E52" s="662">
        <f t="shared" si="1"/>
        <v>0</v>
      </c>
      <c r="F52" s="662">
        <f t="shared" si="0"/>
        <v>0</v>
      </c>
      <c r="G52" s="662">
        <f t="shared" si="2"/>
        <v>0</v>
      </c>
      <c r="H52" s="662">
        <f t="shared" si="3"/>
        <v>0</v>
      </c>
      <c r="I52" s="662">
        <f t="shared" si="4"/>
        <v>0</v>
      </c>
      <c r="J52" s="663">
        <f t="shared" si="5"/>
        <v>0</v>
      </c>
    </row>
    <row r="53" spans="2:10" x14ac:dyDescent="0.25">
      <c r="B53" s="659">
        <f>Amnt_Deposited!B45</f>
        <v>1984</v>
      </c>
      <c r="C53" s="660">
        <f>Amnt_Deposited!I45</f>
        <v>0</v>
      </c>
      <c r="D53" s="661">
        <f>MCF!R52</f>
        <v>0.9</v>
      </c>
      <c r="E53" s="662">
        <f t="shared" si="1"/>
        <v>0</v>
      </c>
      <c r="F53" s="662">
        <f t="shared" si="0"/>
        <v>0</v>
      </c>
      <c r="G53" s="662">
        <f t="shared" si="2"/>
        <v>0</v>
      </c>
      <c r="H53" s="662">
        <f t="shared" si="3"/>
        <v>0</v>
      </c>
      <c r="I53" s="662">
        <f t="shared" si="4"/>
        <v>0</v>
      </c>
      <c r="J53" s="663">
        <f t="shared" si="5"/>
        <v>0</v>
      </c>
    </row>
    <row r="54" spans="2:10" x14ac:dyDescent="0.25">
      <c r="B54" s="659">
        <f>Amnt_Deposited!B46</f>
        <v>1985</v>
      </c>
      <c r="C54" s="660">
        <f>Amnt_Deposited!I46</f>
        <v>0</v>
      </c>
      <c r="D54" s="661">
        <f>MCF!R53</f>
        <v>0.9</v>
      </c>
      <c r="E54" s="662">
        <f t="shared" si="1"/>
        <v>0</v>
      </c>
      <c r="F54" s="662">
        <f t="shared" si="0"/>
        <v>0</v>
      </c>
      <c r="G54" s="662">
        <f t="shared" si="2"/>
        <v>0</v>
      </c>
      <c r="H54" s="662">
        <f t="shared" si="3"/>
        <v>0</v>
      </c>
      <c r="I54" s="662">
        <f t="shared" si="4"/>
        <v>0</v>
      </c>
      <c r="J54" s="663">
        <f t="shared" si="5"/>
        <v>0</v>
      </c>
    </row>
    <row r="55" spans="2:10" x14ac:dyDescent="0.25">
      <c r="B55" s="659">
        <f>Amnt_Deposited!B47</f>
        <v>1986</v>
      </c>
      <c r="C55" s="660">
        <f>Amnt_Deposited!I47</f>
        <v>0</v>
      </c>
      <c r="D55" s="661">
        <f>MCF!R54</f>
        <v>0.9</v>
      </c>
      <c r="E55" s="662">
        <f t="shared" si="1"/>
        <v>0</v>
      </c>
      <c r="F55" s="662">
        <f t="shared" si="0"/>
        <v>0</v>
      </c>
      <c r="G55" s="662">
        <f t="shared" si="2"/>
        <v>0</v>
      </c>
      <c r="H55" s="662">
        <f t="shared" si="3"/>
        <v>0</v>
      </c>
      <c r="I55" s="662">
        <f t="shared" si="4"/>
        <v>0</v>
      </c>
      <c r="J55" s="663">
        <f t="shared" si="5"/>
        <v>0</v>
      </c>
    </row>
    <row r="56" spans="2:10" x14ac:dyDescent="0.25">
      <c r="B56" s="659">
        <f>Amnt_Deposited!B48</f>
        <v>1987</v>
      </c>
      <c r="C56" s="660">
        <f>Amnt_Deposited!I48</f>
        <v>0</v>
      </c>
      <c r="D56" s="661">
        <f>MCF!R55</f>
        <v>0.9</v>
      </c>
      <c r="E56" s="662">
        <f t="shared" si="1"/>
        <v>0</v>
      </c>
      <c r="F56" s="662">
        <f t="shared" si="0"/>
        <v>0</v>
      </c>
      <c r="G56" s="662">
        <f t="shared" si="2"/>
        <v>0</v>
      </c>
      <c r="H56" s="662">
        <f t="shared" si="3"/>
        <v>0</v>
      </c>
      <c r="I56" s="662">
        <f t="shared" si="4"/>
        <v>0</v>
      </c>
      <c r="J56" s="663">
        <f t="shared" si="5"/>
        <v>0</v>
      </c>
    </row>
    <row r="57" spans="2:10" x14ac:dyDescent="0.25">
      <c r="B57" s="659">
        <f>Amnt_Deposited!B49</f>
        <v>1988</v>
      </c>
      <c r="C57" s="660">
        <f>Amnt_Deposited!I49</f>
        <v>0</v>
      </c>
      <c r="D57" s="661">
        <f>MCF!R56</f>
        <v>0.9</v>
      </c>
      <c r="E57" s="662">
        <f t="shared" si="1"/>
        <v>0</v>
      </c>
      <c r="F57" s="662">
        <f t="shared" si="0"/>
        <v>0</v>
      </c>
      <c r="G57" s="662">
        <f t="shared" si="2"/>
        <v>0</v>
      </c>
      <c r="H57" s="662">
        <f t="shared" si="3"/>
        <v>0</v>
      </c>
      <c r="I57" s="662">
        <f t="shared" si="4"/>
        <v>0</v>
      </c>
      <c r="J57" s="663">
        <f t="shared" si="5"/>
        <v>0</v>
      </c>
    </row>
    <row r="58" spans="2:10" x14ac:dyDescent="0.25">
      <c r="B58" s="659">
        <f>Amnt_Deposited!B50</f>
        <v>1989</v>
      </c>
      <c r="C58" s="660">
        <f>Amnt_Deposited!I50</f>
        <v>0</v>
      </c>
      <c r="D58" s="661">
        <f>MCF!R57</f>
        <v>0.9</v>
      </c>
      <c r="E58" s="662">
        <f t="shared" si="1"/>
        <v>0</v>
      </c>
      <c r="F58" s="662">
        <f t="shared" si="0"/>
        <v>0</v>
      </c>
      <c r="G58" s="662">
        <f t="shared" si="2"/>
        <v>0</v>
      </c>
      <c r="H58" s="662">
        <f t="shared" si="3"/>
        <v>0</v>
      </c>
      <c r="I58" s="662">
        <f t="shared" si="4"/>
        <v>0</v>
      </c>
      <c r="J58" s="663">
        <f t="shared" si="5"/>
        <v>0</v>
      </c>
    </row>
    <row r="59" spans="2:10" x14ac:dyDescent="0.25">
      <c r="B59" s="659">
        <f>Amnt_Deposited!B51</f>
        <v>1990</v>
      </c>
      <c r="C59" s="660">
        <f>Amnt_Deposited!I51</f>
        <v>0</v>
      </c>
      <c r="D59" s="661">
        <f>MCF!R58</f>
        <v>1</v>
      </c>
      <c r="E59" s="662">
        <f t="shared" si="1"/>
        <v>0</v>
      </c>
      <c r="F59" s="662">
        <f t="shared" si="0"/>
        <v>0</v>
      </c>
      <c r="G59" s="662">
        <f t="shared" si="2"/>
        <v>0</v>
      </c>
      <c r="H59" s="662">
        <f t="shared" si="3"/>
        <v>0</v>
      </c>
      <c r="I59" s="662">
        <f t="shared" si="4"/>
        <v>0</v>
      </c>
      <c r="J59" s="663">
        <f t="shared" si="5"/>
        <v>0</v>
      </c>
    </row>
    <row r="60" spans="2:10" x14ac:dyDescent="0.25">
      <c r="B60" s="659">
        <f>Amnt_Deposited!B52</f>
        <v>1991</v>
      </c>
      <c r="C60" s="660">
        <f>Amnt_Deposited!I52</f>
        <v>0</v>
      </c>
      <c r="D60" s="661">
        <f>MCF!R59</f>
        <v>1</v>
      </c>
      <c r="E60" s="662">
        <f t="shared" si="1"/>
        <v>0</v>
      </c>
      <c r="F60" s="662">
        <f t="shared" si="0"/>
        <v>0</v>
      </c>
      <c r="G60" s="662">
        <f t="shared" si="2"/>
        <v>0</v>
      </c>
      <c r="H60" s="662">
        <f t="shared" si="3"/>
        <v>0</v>
      </c>
      <c r="I60" s="662">
        <f t="shared" si="4"/>
        <v>0</v>
      </c>
      <c r="J60" s="663">
        <f t="shared" si="5"/>
        <v>0</v>
      </c>
    </row>
    <row r="61" spans="2:10" x14ac:dyDescent="0.25">
      <c r="B61" s="659">
        <f>Amnt_Deposited!B53</f>
        <v>1992</v>
      </c>
      <c r="C61" s="660">
        <f>Amnt_Deposited!I53</f>
        <v>0</v>
      </c>
      <c r="D61" s="661">
        <f>MCF!R60</f>
        <v>1</v>
      </c>
      <c r="E61" s="662">
        <f t="shared" si="1"/>
        <v>0</v>
      </c>
      <c r="F61" s="662">
        <f t="shared" si="0"/>
        <v>0</v>
      </c>
      <c r="G61" s="662">
        <f t="shared" si="2"/>
        <v>0</v>
      </c>
      <c r="H61" s="662">
        <f t="shared" si="3"/>
        <v>0</v>
      </c>
      <c r="I61" s="662">
        <f t="shared" si="4"/>
        <v>0</v>
      </c>
      <c r="J61" s="663">
        <f t="shared" si="5"/>
        <v>0</v>
      </c>
    </row>
    <row r="62" spans="2:10" x14ac:dyDescent="0.25">
      <c r="B62" s="659">
        <f>Amnt_Deposited!B54</f>
        <v>1993</v>
      </c>
      <c r="C62" s="660">
        <f>Amnt_Deposited!I54</f>
        <v>0</v>
      </c>
      <c r="D62" s="661">
        <f>MCF!R61</f>
        <v>1</v>
      </c>
      <c r="E62" s="662">
        <f t="shared" si="1"/>
        <v>0</v>
      </c>
      <c r="F62" s="662">
        <f t="shared" si="0"/>
        <v>0</v>
      </c>
      <c r="G62" s="662">
        <f t="shared" si="2"/>
        <v>0</v>
      </c>
      <c r="H62" s="662">
        <f t="shared" si="3"/>
        <v>0</v>
      </c>
      <c r="I62" s="662">
        <f t="shared" si="4"/>
        <v>0</v>
      </c>
      <c r="J62" s="663">
        <f t="shared" si="5"/>
        <v>0</v>
      </c>
    </row>
    <row r="63" spans="2:10" x14ac:dyDescent="0.25">
      <c r="B63" s="659">
        <f>Amnt_Deposited!B55</f>
        <v>1994</v>
      </c>
      <c r="C63" s="660">
        <f>Amnt_Deposited!I55</f>
        <v>0</v>
      </c>
      <c r="D63" s="661">
        <f>MCF!R62</f>
        <v>1</v>
      </c>
      <c r="E63" s="662">
        <f t="shared" si="1"/>
        <v>0</v>
      </c>
      <c r="F63" s="662">
        <f t="shared" si="0"/>
        <v>0</v>
      </c>
      <c r="G63" s="662">
        <f t="shared" si="2"/>
        <v>0</v>
      </c>
      <c r="H63" s="662">
        <f t="shared" si="3"/>
        <v>0</v>
      </c>
      <c r="I63" s="662">
        <f t="shared" si="4"/>
        <v>0</v>
      </c>
      <c r="J63" s="663">
        <f t="shared" si="5"/>
        <v>0</v>
      </c>
    </row>
    <row r="64" spans="2:10" x14ac:dyDescent="0.25">
      <c r="B64" s="659">
        <f>Amnt_Deposited!B56</f>
        <v>1995</v>
      </c>
      <c r="C64" s="660">
        <f>Amnt_Deposited!I56</f>
        <v>0</v>
      </c>
      <c r="D64" s="661">
        <f>MCF!R63</f>
        <v>1</v>
      </c>
      <c r="E64" s="662">
        <f t="shared" si="1"/>
        <v>0</v>
      </c>
      <c r="F64" s="662">
        <f t="shared" si="0"/>
        <v>0</v>
      </c>
      <c r="G64" s="662">
        <f t="shared" si="2"/>
        <v>0</v>
      </c>
      <c r="H64" s="662">
        <f t="shared" si="3"/>
        <v>0</v>
      </c>
      <c r="I64" s="662">
        <f t="shared" si="4"/>
        <v>0</v>
      </c>
      <c r="J64" s="663">
        <f t="shared" si="5"/>
        <v>0</v>
      </c>
    </row>
    <row r="65" spans="2:10" x14ac:dyDescent="0.25">
      <c r="B65" s="659">
        <f>Amnt_Deposited!B57</f>
        <v>1996</v>
      </c>
      <c r="C65" s="660">
        <f>Amnt_Deposited!I57</f>
        <v>0</v>
      </c>
      <c r="D65" s="661">
        <f>MCF!R64</f>
        <v>1</v>
      </c>
      <c r="E65" s="662">
        <f t="shared" si="1"/>
        <v>0</v>
      </c>
      <c r="F65" s="662">
        <f t="shared" si="0"/>
        <v>0</v>
      </c>
      <c r="G65" s="662">
        <f t="shared" si="2"/>
        <v>0</v>
      </c>
      <c r="H65" s="662">
        <f t="shared" si="3"/>
        <v>0</v>
      </c>
      <c r="I65" s="662">
        <f t="shared" si="4"/>
        <v>0</v>
      </c>
      <c r="J65" s="663">
        <f t="shared" si="5"/>
        <v>0</v>
      </c>
    </row>
    <row r="66" spans="2:10" x14ac:dyDescent="0.25">
      <c r="B66" s="659">
        <f>Amnt_Deposited!B58</f>
        <v>1997</v>
      </c>
      <c r="C66" s="660">
        <f>Amnt_Deposited!I58</f>
        <v>0</v>
      </c>
      <c r="D66" s="661">
        <f>MCF!R65</f>
        <v>1</v>
      </c>
      <c r="E66" s="662">
        <f t="shared" si="1"/>
        <v>0</v>
      </c>
      <c r="F66" s="662">
        <f t="shared" si="0"/>
        <v>0</v>
      </c>
      <c r="G66" s="662">
        <f t="shared" si="2"/>
        <v>0</v>
      </c>
      <c r="H66" s="662">
        <f t="shared" si="3"/>
        <v>0</v>
      </c>
      <c r="I66" s="662">
        <f t="shared" si="4"/>
        <v>0</v>
      </c>
      <c r="J66" s="663">
        <f t="shared" si="5"/>
        <v>0</v>
      </c>
    </row>
    <row r="67" spans="2:10" x14ac:dyDescent="0.25">
      <c r="B67" s="659">
        <f>Amnt_Deposited!B59</f>
        <v>1998</v>
      </c>
      <c r="C67" s="660">
        <f>Amnt_Deposited!I59</f>
        <v>0</v>
      </c>
      <c r="D67" s="661">
        <f>MCF!R66</f>
        <v>1</v>
      </c>
      <c r="E67" s="662">
        <f t="shared" si="1"/>
        <v>0</v>
      </c>
      <c r="F67" s="662">
        <f t="shared" si="0"/>
        <v>0</v>
      </c>
      <c r="G67" s="662">
        <f t="shared" si="2"/>
        <v>0</v>
      </c>
      <c r="H67" s="662">
        <f t="shared" si="3"/>
        <v>0</v>
      </c>
      <c r="I67" s="662">
        <f t="shared" si="4"/>
        <v>0</v>
      </c>
      <c r="J67" s="663">
        <f t="shared" si="5"/>
        <v>0</v>
      </c>
    </row>
    <row r="68" spans="2:10" x14ac:dyDescent="0.25">
      <c r="B68" s="659">
        <f>Amnt_Deposited!B60</f>
        <v>1999</v>
      </c>
      <c r="C68" s="660">
        <f>Amnt_Deposited!I60</f>
        <v>0</v>
      </c>
      <c r="D68" s="661">
        <f>MCF!R67</f>
        <v>1</v>
      </c>
      <c r="E68" s="662">
        <f t="shared" si="1"/>
        <v>0</v>
      </c>
      <c r="F68" s="662">
        <f t="shared" si="0"/>
        <v>0</v>
      </c>
      <c r="G68" s="662">
        <f t="shared" si="2"/>
        <v>0</v>
      </c>
      <c r="H68" s="662">
        <f t="shared" si="3"/>
        <v>0</v>
      </c>
      <c r="I68" s="662">
        <f t="shared" si="4"/>
        <v>0</v>
      </c>
      <c r="J68" s="663">
        <f t="shared" si="5"/>
        <v>0</v>
      </c>
    </row>
    <row r="69" spans="2:10" x14ac:dyDescent="0.25">
      <c r="B69" s="659">
        <f>Amnt_Deposited!B61</f>
        <v>2000</v>
      </c>
      <c r="C69" s="660">
        <f>Amnt_Deposited!I61</f>
        <v>0</v>
      </c>
      <c r="D69" s="661">
        <f>MCF!R68</f>
        <v>1</v>
      </c>
      <c r="E69" s="662">
        <f t="shared" si="1"/>
        <v>0</v>
      </c>
      <c r="F69" s="662">
        <f t="shared" si="0"/>
        <v>0</v>
      </c>
      <c r="G69" s="662">
        <f t="shared" si="2"/>
        <v>0</v>
      </c>
      <c r="H69" s="662">
        <f t="shared" si="3"/>
        <v>0</v>
      </c>
      <c r="I69" s="662">
        <f t="shared" si="4"/>
        <v>0</v>
      </c>
      <c r="J69" s="663">
        <f t="shared" si="5"/>
        <v>0</v>
      </c>
    </row>
    <row r="70" spans="2:10" x14ac:dyDescent="0.25">
      <c r="B70" s="659">
        <f>Amnt_Deposited!B62</f>
        <v>2001</v>
      </c>
      <c r="C70" s="660">
        <f>Amnt_Deposited!I62</f>
        <v>0</v>
      </c>
      <c r="D70" s="661">
        <f>MCF!R69</f>
        <v>1</v>
      </c>
      <c r="E70" s="662">
        <f t="shared" si="1"/>
        <v>0</v>
      </c>
      <c r="F70" s="662">
        <f t="shared" si="0"/>
        <v>0</v>
      </c>
      <c r="G70" s="662">
        <f t="shared" si="2"/>
        <v>0</v>
      </c>
      <c r="H70" s="662">
        <f t="shared" si="3"/>
        <v>0</v>
      </c>
      <c r="I70" s="662">
        <f t="shared" si="4"/>
        <v>0</v>
      </c>
      <c r="J70" s="663">
        <f t="shared" si="5"/>
        <v>0</v>
      </c>
    </row>
    <row r="71" spans="2:10" x14ac:dyDescent="0.25">
      <c r="B71" s="659">
        <f>Amnt_Deposited!B63</f>
        <v>2002</v>
      </c>
      <c r="C71" s="660">
        <f>Amnt_Deposited!I63</f>
        <v>0</v>
      </c>
      <c r="D71" s="661">
        <f>MCF!R70</f>
        <v>1</v>
      </c>
      <c r="E71" s="662">
        <f t="shared" si="1"/>
        <v>0</v>
      </c>
      <c r="F71" s="662">
        <f t="shared" si="0"/>
        <v>0</v>
      </c>
      <c r="G71" s="662">
        <f t="shared" si="2"/>
        <v>0</v>
      </c>
      <c r="H71" s="662">
        <f t="shared" si="3"/>
        <v>0</v>
      </c>
      <c r="I71" s="662">
        <f t="shared" si="4"/>
        <v>0</v>
      </c>
      <c r="J71" s="663">
        <f t="shared" si="5"/>
        <v>0</v>
      </c>
    </row>
    <row r="72" spans="2:10" x14ac:dyDescent="0.25">
      <c r="B72" s="659">
        <f>Amnt_Deposited!B64</f>
        <v>2003</v>
      </c>
      <c r="C72" s="660">
        <f>Amnt_Deposited!I64</f>
        <v>0</v>
      </c>
      <c r="D72" s="661">
        <f>MCF!R71</f>
        <v>1</v>
      </c>
      <c r="E72" s="662">
        <f t="shared" si="1"/>
        <v>0</v>
      </c>
      <c r="F72" s="662">
        <f t="shared" si="0"/>
        <v>0</v>
      </c>
      <c r="G72" s="662">
        <f t="shared" si="2"/>
        <v>0</v>
      </c>
      <c r="H72" s="662">
        <f t="shared" si="3"/>
        <v>0</v>
      </c>
      <c r="I72" s="662">
        <f t="shared" si="4"/>
        <v>0</v>
      </c>
      <c r="J72" s="663">
        <f t="shared" si="5"/>
        <v>0</v>
      </c>
    </row>
    <row r="73" spans="2:10" x14ac:dyDescent="0.25">
      <c r="B73" s="659">
        <f>Amnt_Deposited!B65</f>
        <v>2004</v>
      </c>
      <c r="C73" s="660">
        <f>Amnt_Deposited!I65</f>
        <v>0</v>
      </c>
      <c r="D73" s="661">
        <f>MCF!R72</f>
        <v>1</v>
      </c>
      <c r="E73" s="662">
        <f t="shared" si="1"/>
        <v>0</v>
      </c>
      <c r="F73" s="662">
        <f t="shared" si="0"/>
        <v>0</v>
      </c>
      <c r="G73" s="662">
        <f t="shared" si="2"/>
        <v>0</v>
      </c>
      <c r="H73" s="662">
        <f t="shared" si="3"/>
        <v>0</v>
      </c>
      <c r="I73" s="662">
        <f t="shared" si="4"/>
        <v>0</v>
      </c>
      <c r="J73" s="663">
        <f t="shared" si="5"/>
        <v>0</v>
      </c>
    </row>
    <row r="74" spans="2:10" x14ac:dyDescent="0.25">
      <c r="B74" s="659">
        <f>Amnt_Deposited!B66</f>
        <v>2005</v>
      </c>
      <c r="C74" s="660">
        <f>Amnt_Deposited!I66</f>
        <v>0</v>
      </c>
      <c r="D74" s="661">
        <f>MCF!R73</f>
        <v>1</v>
      </c>
      <c r="E74" s="662">
        <f t="shared" si="1"/>
        <v>0</v>
      </c>
      <c r="F74" s="662">
        <f t="shared" si="0"/>
        <v>0</v>
      </c>
      <c r="G74" s="662">
        <f t="shared" si="2"/>
        <v>0</v>
      </c>
      <c r="H74" s="662">
        <f t="shared" si="3"/>
        <v>0</v>
      </c>
      <c r="I74" s="662">
        <f t="shared" si="4"/>
        <v>0</v>
      </c>
      <c r="J74" s="663">
        <f t="shared" si="5"/>
        <v>0</v>
      </c>
    </row>
    <row r="75" spans="2:10" x14ac:dyDescent="0.25">
      <c r="B75" s="659">
        <f>Amnt_Deposited!B67</f>
        <v>2006</v>
      </c>
      <c r="C75" s="660">
        <f>Amnt_Deposited!I67</f>
        <v>0</v>
      </c>
      <c r="D75" s="661">
        <f>MCF!R74</f>
        <v>1</v>
      </c>
      <c r="E75" s="662">
        <f t="shared" si="1"/>
        <v>0</v>
      </c>
      <c r="F75" s="662">
        <f t="shared" si="0"/>
        <v>0</v>
      </c>
      <c r="G75" s="662">
        <f t="shared" si="2"/>
        <v>0</v>
      </c>
      <c r="H75" s="662">
        <f t="shared" si="3"/>
        <v>0</v>
      </c>
      <c r="I75" s="662">
        <f t="shared" si="4"/>
        <v>0</v>
      </c>
      <c r="J75" s="663">
        <f t="shared" si="5"/>
        <v>0</v>
      </c>
    </row>
    <row r="76" spans="2:10" x14ac:dyDescent="0.25">
      <c r="B76" s="659">
        <f>Amnt_Deposited!B68</f>
        <v>2007</v>
      </c>
      <c r="C76" s="660">
        <f>Amnt_Deposited!I68</f>
        <v>0</v>
      </c>
      <c r="D76" s="661">
        <f>MCF!R75</f>
        <v>1</v>
      </c>
      <c r="E76" s="662">
        <f t="shared" si="1"/>
        <v>0</v>
      </c>
      <c r="F76" s="662">
        <f t="shared" si="0"/>
        <v>0</v>
      </c>
      <c r="G76" s="662">
        <f t="shared" si="2"/>
        <v>0</v>
      </c>
      <c r="H76" s="662">
        <f t="shared" si="3"/>
        <v>0</v>
      </c>
      <c r="I76" s="662">
        <f t="shared" si="4"/>
        <v>0</v>
      </c>
      <c r="J76" s="663">
        <f t="shared" si="5"/>
        <v>0</v>
      </c>
    </row>
    <row r="77" spans="2:10" x14ac:dyDescent="0.25">
      <c r="B77" s="659">
        <f>Amnt_Deposited!B69</f>
        <v>2008</v>
      </c>
      <c r="C77" s="660">
        <f>Amnt_Deposited!I69</f>
        <v>0</v>
      </c>
      <c r="D77" s="661">
        <f>MCF!R76</f>
        <v>1</v>
      </c>
      <c r="E77" s="662">
        <f t="shared" si="1"/>
        <v>0</v>
      </c>
      <c r="F77" s="662">
        <f t="shared" si="0"/>
        <v>0</v>
      </c>
      <c r="G77" s="662">
        <f t="shared" si="2"/>
        <v>0</v>
      </c>
      <c r="H77" s="662">
        <f t="shared" si="3"/>
        <v>0</v>
      </c>
      <c r="I77" s="662">
        <f t="shared" si="4"/>
        <v>0</v>
      </c>
      <c r="J77" s="663">
        <f t="shared" si="5"/>
        <v>0</v>
      </c>
    </row>
    <row r="78" spans="2:10" x14ac:dyDescent="0.25">
      <c r="B78" s="659">
        <f>Amnt_Deposited!B70</f>
        <v>2009</v>
      </c>
      <c r="C78" s="660">
        <f>Amnt_Deposited!I70</f>
        <v>0</v>
      </c>
      <c r="D78" s="661">
        <f>MCF!R77</f>
        <v>1</v>
      </c>
      <c r="E78" s="662">
        <f t="shared" si="1"/>
        <v>0</v>
      </c>
      <c r="F78" s="662">
        <f t="shared" si="0"/>
        <v>0</v>
      </c>
      <c r="G78" s="662">
        <f t="shared" si="2"/>
        <v>0</v>
      </c>
      <c r="H78" s="662">
        <f t="shared" si="3"/>
        <v>0</v>
      </c>
      <c r="I78" s="662">
        <f t="shared" si="4"/>
        <v>0</v>
      </c>
      <c r="J78" s="663">
        <f t="shared" si="5"/>
        <v>0</v>
      </c>
    </row>
    <row r="79" spans="2:10" x14ac:dyDescent="0.25">
      <c r="B79" s="659">
        <f>Amnt_Deposited!B71</f>
        <v>2010</v>
      </c>
      <c r="C79" s="660">
        <f>Amnt_Deposited!I71</f>
        <v>0</v>
      </c>
      <c r="D79" s="661">
        <f>MCF!R78</f>
        <v>1</v>
      </c>
      <c r="E79" s="662">
        <f t="shared" si="1"/>
        <v>0</v>
      </c>
      <c r="F79" s="662">
        <f t="shared" si="0"/>
        <v>0</v>
      </c>
      <c r="G79" s="662">
        <f t="shared" si="2"/>
        <v>0</v>
      </c>
      <c r="H79" s="662">
        <f t="shared" si="3"/>
        <v>0</v>
      </c>
      <c r="I79" s="662">
        <f t="shared" si="4"/>
        <v>0</v>
      </c>
      <c r="J79" s="663">
        <f t="shared" si="5"/>
        <v>0</v>
      </c>
    </row>
    <row r="80" spans="2:10" x14ac:dyDescent="0.25">
      <c r="B80" s="659">
        <f>Amnt_Deposited!B72</f>
        <v>2011</v>
      </c>
      <c r="C80" s="660">
        <f>Amnt_Deposited!I72</f>
        <v>0</v>
      </c>
      <c r="D80" s="661">
        <f>MCF!R79</f>
        <v>1</v>
      </c>
      <c r="E80" s="662">
        <f t="shared" si="1"/>
        <v>0</v>
      </c>
      <c r="F80" s="662">
        <f t="shared" si="0"/>
        <v>0</v>
      </c>
      <c r="G80" s="662">
        <f t="shared" si="2"/>
        <v>0</v>
      </c>
      <c r="H80" s="662">
        <f t="shared" si="3"/>
        <v>0</v>
      </c>
      <c r="I80" s="662">
        <f t="shared" si="4"/>
        <v>0</v>
      </c>
      <c r="J80" s="663">
        <f t="shared" si="5"/>
        <v>0</v>
      </c>
    </row>
    <row r="81" spans="2:10" x14ac:dyDescent="0.25">
      <c r="B81" s="659">
        <f>Amnt_Deposited!B73</f>
        <v>2012</v>
      </c>
      <c r="C81" s="660">
        <f>Amnt_Deposited!I73</f>
        <v>0</v>
      </c>
      <c r="D81" s="661">
        <f>MCF!R80</f>
        <v>1</v>
      </c>
      <c r="E81" s="662">
        <f t="shared" si="1"/>
        <v>0</v>
      </c>
      <c r="F81" s="662">
        <f t="shared" si="0"/>
        <v>0</v>
      </c>
      <c r="G81" s="662">
        <f t="shared" si="2"/>
        <v>0</v>
      </c>
      <c r="H81" s="662">
        <f t="shared" si="3"/>
        <v>0</v>
      </c>
      <c r="I81" s="662">
        <f t="shared" si="4"/>
        <v>0</v>
      </c>
      <c r="J81" s="663">
        <f t="shared" si="5"/>
        <v>0</v>
      </c>
    </row>
    <row r="82" spans="2:10" x14ac:dyDescent="0.25">
      <c r="B82" s="659">
        <f>Amnt_Deposited!B74</f>
        <v>2013</v>
      </c>
      <c r="C82" s="660">
        <f>Amnt_Deposited!I74</f>
        <v>0</v>
      </c>
      <c r="D82" s="661">
        <f>MCF!R81</f>
        <v>1</v>
      </c>
      <c r="E82" s="662">
        <f t="shared" si="1"/>
        <v>0</v>
      </c>
      <c r="F82" s="662">
        <f t="shared" si="0"/>
        <v>0</v>
      </c>
      <c r="G82" s="662">
        <f t="shared" si="2"/>
        <v>0</v>
      </c>
      <c r="H82" s="662">
        <f t="shared" si="3"/>
        <v>0</v>
      </c>
      <c r="I82" s="662">
        <f t="shared" si="4"/>
        <v>0</v>
      </c>
      <c r="J82" s="663">
        <f t="shared" si="5"/>
        <v>0</v>
      </c>
    </row>
    <row r="83" spans="2:10" x14ac:dyDescent="0.25">
      <c r="B83" s="659">
        <f>Amnt_Deposited!B75</f>
        <v>2014</v>
      </c>
      <c r="C83" s="660">
        <f>Amnt_Deposited!I75</f>
        <v>0</v>
      </c>
      <c r="D83" s="661">
        <f>MCF!R82</f>
        <v>1</v>
      </c>
      <c r="E83" s="662">
        <f t="shared" si="1"/>
        <v>0</v>
      </c>
      <c r="F83" s="662">
        <f t="shared" ref="F83:F109" si="6">E83*$I$12</f>
        <v>0</v>
      </c>
      <c r="G83" s="662">
        <f t="shared" si="2"/>
        <v>0</v>
      </c>
      <c r="H83" s="662">
        <f t="shared" si="3"/>
        <v>0</v>
      </c>
      <c r="I83" s="662">
        <f t="shared" si="4"/>
        <v>0</v>
      </c>
      <c r="J83" s="663">
        <f t="shared" si="5"/>
        <v>0</v>
      </c>
    </row>
    <row r="84" spans="2:10" x14ac:dyDescent="0.25">
      <c r="B84" s="659">
        <f>Amnt_Deposited!B76</f>
        <v>2015</v>
      </c>
      <c r="C84" s="660">
        <f>Amnt_Deposited!I76</f>
        <v>0</v>
      </c>
      <c r="D84" s="661">
        <f>MCF!R83</f>
        <v>1</v>
      </c>
      <c r="E84" s="662">
        <f t="shared" ref="E84:E109" si="7">C84*$I$6*DOCF*D84</f>
        <v>0</v>
      </c>
      <c r="F84" s="662">
        <f t="shared" si="6"/>
        <v>0</v>
      </c>
      <c r="G84" s="662">
        <f t="shared" ref="G84:G109" si="8">E84*(1-$I$12)</f>
        <v>0</v>
      </c>
      <c r="H84" s="662">
        <f t="shared" ref="H84:H109" si="9">F84+H83*$I$10</f>
        <v>0</v>
      </c>
      <c r="I84" s="662">
        <f t="shared" ref="I84:I109" si="10">H83*(1-$I$10)+G84</f>
        <v>0</v>
      </c>
      <c r="J84" s="663">
        <f t="shared" si="5"/>
        <v>0</v>
      </c>
    </row>
    <row r="85" spans="2:10" x14ac:dyDescent="0.25">
      <c r="B85" s="659">
        <f>Amnt_Deposited!B77</f>
        <v>2016</v>
      </c>
      <c r="C85" s="660">
        <f>Amnt_Deposited!I77</f>
        <v>0</v>
      </c>
      <c r="D85" s="661">
        <f>MCF!R84</f>
        <v>1</v>
      </c>
      <c r="E85" s="662">
        <f t="shared" si="7"/>
        <v>0</v>
      </c>
      <c r="F85" s="662">
        <f t="shared" si="6"/>
        <v>0</v>
      </c>
      <c r="G85" s="662">
        <f t="shared" si="8"/>
        <v>0</v>
      </c>
      <c r="H85" s="662">
        <f t="shared" si="9"/>
        <v>0</v>
      </c>
      <c r="I85" s="662">
        <f t="shared" si="10"/>
        <v>0</v>
      </c>
      <c r="J85" s="663">
        <f t="shared" ref="J85:J109" si="11">I85*CH4_fraction*conv</f>
        <v>0</v>
      </c>
    </row>
    <row r="86" spans="2:10" x14ac:dyDescent="0.25">
      <c r="B86" s="659">
        <f>Amnt_Deposited!B78</f>
        <v>2017</v>
      </c>
      <c r="C86" s="660">
        <f>Amnt_Deposited!I78</f>
        <v>0</v>
      </c>
      <c r="D86" s="661">
        <f>MCF!R85</f>
        <v>1</v>
      </c>
      <c r="E86" s="662">
        <f t="shared" ref="E86:E109" si="12">C86*$I$6*DOCF*D86</f>
        <v>0</v>
      </c>
      <c r="F86" s="662">
        <f t="shared" ref="F86:F109" si="13">E86*$I$12</f>
        <v>0</v>
      </c>
      <c r="G86" s="662">
        <f t="shared" ref="G86:G109" si="14">E86*(1-$I$12)</f>
        <v>0</v>
      </c>
      <c r="H86" s="662">
        <f t="shared" ref="H86:H109" si="15">F86+H85*$I$10</f>
        <v>0</v>
      </c>
      <c r="I86" s="662">
        <f t="shared" ref="I86:I109" si="16">H85*(1-$I$10)+G86</f>
        <v>0</v>
      </c>
      <c r="J86" s="663">
        <f t="shared" ref="J86:J109" si="17">I86*CH4_fraction*conv</f>
        <v>0</v>
      </c>
    </row>
    <row r="87" spans="2:10" x14ac:dyDescent="0.25">
      <c r="B87" s="659">
        <f>Amnt_Deposited!B79</f>
        <v>2018</v>
      </c>
      <c r="C87" s="660">
        <f>Amnt_Deposited!I79</f>
        <v>0</v>
      </c>
      <c r="D87" s="661">
        <f>MCF!R86</f>
        <v>1</v>
      </c>
      <c r="E87" s="662">
        <f t="shared" si="12"/>
        <v>0</v>
      </c>
      <c r="F87" s="662">
        <f t="shared" si="13"/>
        <v>0</v>
      </c>
      <c r="G87" s="662">
        <f t="shared" si="14"/>
        <v>0</v>
      </c>
      <c r="H87" s="662">
        <f t="shared" si="15"/>
        <v>0</v>
      </c>
      <c r="I87" s="662">
        <f t="shared" si="16"/>
        <v>0</v>
      </c>
      <c r="J87" s="663">
        <f t="shared" si="17"/>
        <v>0</v>
      </c>
    </row>
    <row r="88" spans="2:10" x14ac:dyDescent="0.25">
      <c r="B88" s="659">
        <f>Amnt_Deposited!B80</f>
        <v>2019</v>
      </c>
      <c r="C88" s="660">
        <f>Amnt_Deposited!I80</f>
        <v>0</v>
      </c>
      <c r="D88" s="661">
        <f>MCF!R87</f>
        <v>1</v>
      </c>
      <c r="E88" s="662">
        <f t="shared" si="12"/>
        <v>0</v>
      </c>
      <c r="F88" s="662">
        <f t="shared" si="13"/>
        <v>0</v>
      </c>
      <c r="G88" s="662">
        <f t="shared" si="14"/>
        <v>0</v>
      </c>
      <c r="H88" s="662">
        <f t="shared" si="15"/>
        <v>0</v>
      </c>
      <c r="I88" s="662">
        <f t="shared" si="16"/>
        <v>0</v>
      </c>
      <c r="J88" s="663">
        <f t="shared" si="17"/>
        <v>0</v>
      </c>
    </row>
    <row r="89" spans="2:10" x14ac:dyDescent="0.25">
      <c r="B89" s="659">
        <f>Amnt_Deposited!B81</f>
        <v>2020</v>
      </c>
      <c r="C89" s="660">
        <f>Amnt_Deposited!I81</f>
        <v>0</v>
      </c>
      <c r="D89" s="661">
        <f>MCF!R88</f>
        <v>1</v>
      </c>
      <c r="E89" s="662">
        <f t="shared" si="12"/>
        <v>0</v>
      </c>
      <c r="F89" s="662">
        <f t="shared" si="13"/>
        <v>0</v>
      </c>
      <c r="G89" s="662">
        <f t="shared" si="14"/>
        <v>0</v>
      </c>
      <c r="H89" s="662">
        <f t="shared" si="15"/>
        <v>0</v>
      </c>
      <c r="I89" s="662">
        <f t="shared" si="16"/>
        <v>0</v>
      </c>
      <c r="J89" s="663">
        <f t="shared" si="17"/>
        <v>0</v>
      </c>
    </row>
    <row r="90" spans="2:10" x14ac:dyDescent="0.25">
      <c r="B90" s="659">
        <f>Amnt_Deposited!B82</f>
        <v>2021</v>
      </c>
      <c r="C90" s="660">
        <f>Amnt_Deposited!I82</f>
        <v>0</v>
      </c>
      <c r="D90" s="661">
        <f>MCF!R89</f>
        <v>1</v>
      </c>
      <c r="E90" s="662">
        <f t="shared" si="12"/>
        <v>0</v>
      </c>
      <c r="F90" s="662">
        <f t="shared" si="13"/>
        <v>0</v>
      </c>
      <c r="G90" s="662">
        <f t="shared" si="14"/>
        <v>0</v>
      </c>
      <c r="H90" s="662">
        <f t="shared" si="15"/>
        <v>0</v>
      </c>
      <c r="I90" s="662">
        <f t="shared" si="16"/>
        <v>0</v>
      </c>
      <c r="J90" s="663">
        <f t="shared" si="17"/>
        <v>0</v>
      </c>
    </row>
    <row r="91" spans="2:10" x14ac:dyDescent="0.25">
      <c r="B91" s="659">
        <f>Amnt_Deposited!B83</f>
        <v>2022</v>
      </c>
      <c r="C91" s="660">
        <f>Amnt_Deposited!I83</f>
        <v>0</v>
      </c>
      <c r="D91" s="661">
        <f>MCF!R90</f>
        <v>1</v>
      </c>
      <c r="E91" s="662">
        <f t="shared" si="12"/>
        <v>0</v>
      </c>
      <c r="F91" s="662">
        <f t="shared" si="13"/>
        <v>0</v>
      </c>
      <c r="G91" s="662">
        <f t="shared" si="14"/>
        <v>0</v>
      </c>
      <c r="H91" s="662">
        <f t="shared" si="15"/>
        <v>0</v>
      </c>
      <c r="I91" s="662">
        <f t="shared" si="16"/>
        <v>0</v>
      </c>
      <c r="J91" s="663">
        <f t="shared" si="17"/>
        <v>0</v>
      </c>
    </row>
    <row r="92" spans="2:10" x14ac:dyDescent="0.25">
      <c r="B92" s="659">
        <f>Amnt_Deposited!B84</f>
        <v>2023</v>
      </c>
      <c r="C92" s="660">
        <f>Amnt_Deposited!I84</f>
        <v>0</v>
      </c>
      <c r="D92" s="661">
        <f>MCF!R91</f>
        <v>1</v>
      </c>
      <c r="E92" s="662">
        <f t="shared" si="12"/>
        <v>0</v>
      </c>
      <c r="F92" s="662">
        <f t="shared" si="13"/>
        <v>0</v>
      </c>
      <c r="G92" s="662">
        <f t="shared" si="14"/>
        <v>0</v>
      </c>
      <c r="H92" s="662">
        <f t="shared" si="15"/>
        <v>0</v>
      </c>
      <c r="I92" s="662">
        <f t="shared" si="16"/>
        <v>0</v>
      </c>
      <c r="J92" s="663">
        <f t="shared" si="17"/>
        <v>0</v>
      </c>
    </row>
    <row r="93" spans="2:10" x14ac:dyDescent="0.25">
      <c r="B93" s="659">
        <f>Amnt_Deposited!B85</f>
        <v>2024</v>
      </c>
      <c r="C93" s="660">
        <f>Amnt_Deposited!I85</f>
        <v>0</v>
      </c>
      <c r="D93" s="661">
        <f>MCF!R92</f>
        <v>1</v>
      </c>
      <c r="E93" s="662">
        <f t="shared" si="12"/>
        <v>0</v>
      </c>
      <c r="F93" s="662">
        <f t="shared" si="13"/>
        <v>0</v>
      </c>
      <c r="G93" s="662">
        <f t="shared" si="14"/>
        <v>0</v>
      </c>
      <c r="H93" s="662">
        <f t="shared" si="15"/>
        <v>0</v>
      </c>
      <c r="I93" s="662">
        <f t="shared" si="16"/>
        <v>0</v>
      </c>
      <c r="J93" s="663">
        <f t="shared" si="17"/>
        <v>0</v>
      </c>
    </row>
    <row r="94" spans="2:10" x14ac:dyDescent="0.25">
      <c r="B94" s="659">
        <f>Amnt_Deposited!B86</f>
        <v>2025</v>
      </c>
      <c r="C94" s="660">
        <f>Amnt_Deposited!I86</f>
        <v>0</v>
      </c>
      <c r="D94" s="661">
        <f>MCF!R93</f>
        <v>1</v>
      </c>
      <c r="E94" s="662">
        <f t="shared" si="12"/>
        <v>0</v>
      </c>
      <c r="F94" s="662">
        <f t="shared" si="13"/>
        <v>0</v>
      </c>
      <c r="G94" s="662">
        <f t="shared" si="14"/>
        <v>0</v>
      </c>
      <c r="H94" s="662">
        <f t="shared" si="15"/>
        <v>0</v>
      </c>
      <c r="I94" s="662">
        <f t="shared" si="16"/>
        <v>0</v>
      </c>
      <c r="J94" s="663">
        <f t="shared" si="17"/>
        <v>0</v>
      </c>
    </row>
    <row r="95" spans="2:10" x14ac:dyDescent="0.25">
      <c r="B95" s="659">
        <f>Amnt_Deposited!B87</f>
        <v>2026</v>
      </c>
      <c r="C95" s="660">
        <f>Amnt_Deposited!I87</f>
        <v>0</v>
      </c>
      <c r="D95" s="661">
        <f>MCF!R94</f>
        <v>1</v>
      </c>
      <c r="E95" s="662">
        <f t="shared" si="12"/>
        <v>0</v>
      </c>
      <c r="F95" s="662">
        <f t="shared" si="13"/>
        <v>0</v>
      </c>
      <c r="G95" s="662">
        <f t="shared" si="14"/>
        <v>0</v>
      </c>
      <c r="H95" s="662">
        <f t="shared" si="15"/>
        <v>0</v>
      </c>
      <c r="I95" s="662">
        <f t="shared" si="16"/>
        <v>0</v>
      </c>
      <c r="J95" s="663">
        <f t="shared" si="17"/>
        <v>0</v>
      </c>
    </row>
    <row r="96" spans="2:10" x14ac:dyDescent="0.25">
      <c r="B96" s="659">
        <f>Amnt_Deposited!B88</f>
        <v>2027</v>
      </c>
      <c r="C96" s="660">
        <f>Amnt_Deposited!I88</f>
        <v>0</v>
      </c>
      <c r="D96" s="661">
        <f>MCF!R95</f>
        <v>1</v>
      </c>
      <c r="E96" s="662">
        <f t="shared" si="12"/>
        <v>0</v>
      </c>
      <c r="F96" s="662">
        <f t="shared" si="13"/>
        <v>0</v>
      </c>
      <c r="G96" s="662">
        <f t="shared" si="14"/>
        <v>0</v>
      </c>
      <c r="H96" s="662">
        <f t="shared" si="15"/>
        <v>0</v>
      </c>
      <c r="I96" s="662">
        <f t="shared" si="16"/>
        <v>0</v>
      </c>
      <c r="J96" s="663">
        <f t="shared" si="17"/>
        <v>0</v>
      </c>
    </row>
    <row r="97" spans="2:10" x14ac:dyDescent="0.25">
      <c r="B97" s="659">
        <f>Amnt_Deposited!B89</f>
        <v>2028</v>
      </c>
      <c r="C97" s="660">
        <f>Amnt_Deposited!I89</f>
        <v>0</v>
      </c>
      <c r="D97" s="661">
        <f>MCF!R96</f>
        <v>1</v>
      </c>
      <c r="E97" s="662">
        <f t="shared" si="12"/>
        <v>0</v>
      </c>
      <c r="F97" s="662">
        <f t="shared" si="13"/>
        <v>0</v>
      </c>
      <c r="G97" s="662">
        <f t="shared" si="14"/>
        <v>0</v>
      </c>
      <c r="H97" s="662">
        <f t="shared" si="15"/>
        <v>0</v>
      </c>
      <c r="I97" s="662">
        <f t="shared" si="16"/>
        <v>0</v>
      </c>
      <c r="J97" s="663">
        <f t="shared" si="17"/>
        <v>0</v>
      </c>
    </row>
    <row r="98" spans="2:10" x14ac:dyDescent="0.25">
      <c r="B98" s="659">
        <f>Amnt_Deposited!B90</f>
        <v>2029</v>
      </c>
      <c r="C98" s="660">
        <f>Amnt_Deposited!I90</f>
        <v>0</v>
      </c>
      <c r="D98" s="661">
        <f>MCF!R97</f>
        <v>1</v>
      </c>
      <c r="E98" s="662">
        <f t="shared" si="12"/>
        <v>0</v>
      </c>
      <c r="F98" s="662">
        <f t="shared" si="13"/>
        <v>0</v>
      </c>
      <c r="G98" s="662">
        <f t="shared" si="14"/>
        <v>0</v>
      </c>
      <c r="H98" s="662">
        <f t="shared" si="15"/>
        <v>0</v>
      </c>
      <c r="I98" s="662">
        <f t="shared" si="16"/>
        <v>0</v>
      </c>
      <c r="J98" s="663">
        <f t="shared" si="17"/>
        <v>0</v>
      </c>
    </row>
    <row r="99" spans="2:10" x14ac:dyDescent="0.25">
      <c r="B99" s="659">
        <f>Amnt_Deposited!B91</f>
        <v>2030</v>
      </c>
      <c r="C99" s="660">
        <f>Amnt_Deposited!I91</f>
        <v>0</v>
      </c>
      <c r="D99" s="661">
        <f>MCF!R98</f>
        <v>1</v>
      </c>
      <c r="E99" s="662">
        <f t="shared" si="12"/>
        <v>0</v>
      </c>
      <c r="F99" s="662">
        <f t="shared" si="13"/>
        <v>0</v>
      </c>
      <c r="G99" s="662">
        <f t="shared" si="14"/>
        <v>0</v>
      </c>
      <c r="H99" s="662">
        <f t="shared" si="15"/>
        <v>0</v>
      </c>
      <c r="I99" s="662">
        <f t="shared" si="16"/>
        <v>0</v>
      </c>
      <c r="J99" s="663">
        <f t="shared" si="17"/>
        <v>0</v>
      </c>
    </row>
    <row r="100" spans="2:10" x14ac:dyDescent="0.25">
      <c r="B100" s="659">
        <f>Amnt_Deposited!B92</f>
        <v>2031</v>
      </c>
      <c r="C100" s="660">
        <f>Amnt_Deposited!I92</f>
        <v>0</v>
      </c>
      <c r="D100" s="661">
        <f>MCF!R99</f>
        <v>1</v>
      </c>
      <c r="E100" s="662">
        <f t="shared" si="12"/>
        <v>0</v>
      </c>
      <c r="F100" s="662">
        <f t="shared" si="13"/>
        <v>0</v>
      </c>
      <c r="G100" s="662">
        <f t="shared" si="14"/>
        <v>0</v>
      </c>
      <c r="H100" s="662">
        <f t="shared" si="15"/>
        <v>0</v>
      </c>
      <c r="I100" s="662">
        <f t="shared" si="16"/>
        <v>0</v>
      </c>
      <c r="J100" s="663">
        <f t="shared" si="17"/>
        <v>0</v>
      </c>
    </row>
    <row r="101" spans="2:10" x14ac:dyDescent="0.25">
      <c r="B101" s="659">
        <f>Amnt_Deposited!B93</f>
        <v>2032</v>
      </c>
      <c r="C101" s="660">
        <f>Amnt_Deposited!I93</f>
        <v>0</v>
      </c>
      <c r="D101" s="661">
        <f>MCF!R100</f>
        <v>1</v>
      </c>
      <c r="E101" s="662">
        <f t="shared" si="12"/>
        <v>0</v>
      </c>
      <c r="F101" s="662">
        <f t="shared" si="13"/>
        <v>0</v>
      </c>
      <c r="G101" s="662">
        <f t="shared" si="14"/>
        <v>0</v>
      </c>
      <c r="H101" s="662">
        <f t="shared" si="15"/>
        <v>0</v>
      </c>
      <c r="I101" s="662">
        <f t="shared" si="16"/>
        <v>0</v>
      </c>
      <c r="J101" s="663">
        <f t="shared" si="17"/>
        <v>0</v>
      </c>
    </row>
    <row r="102" spans="2:10" x14ac:dyDescent="0.25">
      <c r="B102" s="659">
        <f>Amnt_Deposited!B94</f>
        <v>2033</v>
      </c>
      <c r="C102" s="660">
        <f>Amnt_Deposited!I94</f>
        <v>0</v>
      </c>
      <c r="D102" s="661">
        <f>MCF!R101</f>
        <v>1</v>
      </c>
      <c r="E102" s="662">
        <f t="shared" si="12"/>
        <v>0</v>
      </c>
      <c r="F102" s="662">
        <f t="shared" si="13"/>
        <v>0</v>
      </c>
      <c r="G102" s="662">
        <f t="shared" si="14"/>
        <v>0</v>
      </c>
      <c r="H102" s="662">
        <f t="shared" si="15"/>
        <v>0</v>
      </c>
      <c r="I102" s="662">
        <f t="shared" si="16"/>
        <v>0</v>
      </c>
      <c r="J102" s="663">
        <f t="shared" si="17"/>
        <v>0</v>
      </c>
    </row>
    <row r="103" spans="2:10" x14ac:dyDescent="0.25">
      <c r="B103" s="659">
        <f>Amnt_Deposited!B95</f>
        <v>2034</v>
      </c>
      <c r="C103" s="660">
        <f>Amnt_Deposited!I95</f>
        <v>0</v>
      </c>
      <c r="D103" s="661">
        <f>MCF!R102</f>
        <v>1</v>
      </c>
      <c r="E103" s="662">
        <f t="shared" si="12"/>
        <v>0</v>
      </c>
      <c r="F103" s="662">
        <f t="shared" si="13"/>
        <v>0</v>
      </c>
      <c r="G103" s="662">
        <f t="shared" si="14"/>
        <v>0</v>
      </c>
      <c r="H103" s="662">
        <f t="shared" si="15"/>
        <v>0</v>
      </c>
      <c r="I103" s="662">
        <f t="shared" si="16"/>
        <v>0</v>
      </c>
      <c r="J103" s="663">
        <f t="shared" si="17"/>
        <v>0</v>
      </c>
    </row>
    <row r="104" spans="2:10" x14ac:dyDescent="0.25">
      <c r="B104" s="659">
        <f>Amnt_Deposited!B96</f>
        <v>2035</v>
      </c>
      <c r="C104" s="660">
        <f>Amnt_Deposited!I96</f>
        <v>0</v>
      </c>
      <c r="D104" s="661">
        <f>MCF!R103</f>
        <v>1</v>
      </c>
      <c r="E104" s="662">
        <f t="shared" si="12"/>
        <v>0</v>
      </c>
      <c r="F104" s="662">
        <f t="shared" si="13"/>
        <v>0</v>
      </c>
      <c r="G104" s="662">
        <f t="shared" si="14"/>
        <v>0</v>
      </c>
      <c r="H104" s="662">
        <f t="shared" si="15"/>
        <v>0</v>
      </c>
      <c r="I104" s="662">
        <f t="shared" si="16"/>
        <v>0</v>
      </c>
      <c r="J104" s="663">
        <f t="shared" si="17"/>
        <v>0</v>
      </c>
    </row>
    <row r="105" spans="2:10" x14ac:dyDescent="0.25">
      <c r="B105" s="659">
        <f>Amnt_Deposited!B97</f>
        <v>2036</v>
      </c>
      <c r="C105" s="660">
        <f>Amnt_Deposited!I97</f>
        <v>0</v>
      </c>
      <c r="D105" s="661">
        <f>MCF!R104</f>
        <v>1</v>
      </c>
      <c r="E105" s="662">
        <f t="shared" si="12"/>
        <v>0</v>
      </c>
      <c r="F105" s="662">
        <f t="shared" si="13"/>
        <v>0</v>
      </c>
      <c r="G105" s="662">
        <f t="shared" si="14"/>
        <v>0</v>
      </c>
      <c r="H105" s="662">
        <f t="shared" si="15"/>
        <v>0</v>
      </c>
      <c r="I105" s="662">
        <f t="shared" si="16"/>
        <v>0</v>
      </c>
      <c r="J105" s="663">
        <f t="shared" si="17"/>
        <v>0</v>
      </c>
    </row>
    <row r="106" spans="2:10" x14ac:dyDescent="0.25">
      <c r="B106" s="659">
        <f>Amnt_Deposited!B98</f>
        <v>2037</v>
      </c>
      <c r="C106" s="660">
        <f>Amnt_Deposited!I98</f>
        <v>0</v>
      </c>
      <c r="D106" s="661">
        <f>MCF!R105</f>
        <v>1</v>
      </c>
      <c r="E106" s="662">
        <f t="shared" si="12"/>
        <v>0</v>
      </c>
      <c r="F106" s="662">
        <f t="shared" si="13"/>
        <v>0</v>
      </c>
      <c r="G106" s="662">
        <f t="shared" si="14"/>
        <v>0</v>
      </c>
      <c r="H106" s="662">
        <f t="shared" si="15"/>
        <v>0</v>
      </c>
      <c r="I106" s="662">
        <f t="shared" si="16"/>
        <v>0</v>
      </c>
      <c r="J106" s="663">
        <f t="shared" si="17"/>
        <v>0</v>
      </c>
    </row>
    <row r="107" spans="2:10" x14ac:dyDescent="0.25">
      <c r="B107" s="659">
        <f>Amnt_Deposited!B99</f>
        <v>2038</v>
      </c>
      <c r="C107" s="660">
        <f>Amnt_Deposited!I99</f>
        <v>0</v>
      </c>
      <c r="D107" s="661">
        <f>MCF!R106</f>
        <v>1</v>
      </c>
      <c r="E107" s="662">
        <f t="shared" si="12"/>
        <v>0</v>
      </c>
      <c r="F107" s="662">
        <f t="shared" si="13"/>
        <v>0</v>
      </c>
      <c r="G107" s="662">
        <f t="shared" si="14"/>
        <v>0</v>
      </c>
      <c r="H107" s="662">
        <f t="shared" si="15"/>
        <v>0</v>
      </c>
      <c r="I107" s="662">
        <f t="shared" si="16"/>
        <v>0</v>
      </c>
      <c r="J107" s="663">
        <f t="shared" si="17"/>
        <v>0</v>
      </c>
    </row>
    <row r="108" spans="2:10" x14ac:dyDescent="0.25">
      <c r="B108" s="659">
        <f>Amnt_Deposited!B100</f>
        <v>2039</v>
      </c>
      <c r="C108" s="660">
        <f>Amnt_Deposited!I100</f>
        <v>0</v>
      </c>
      <c r="D108" s="661">
        <f>MCF!R107</f>
        <v>1</v>
      </c>
      <c r="E108" s="662">
        <f t="shared" si="12"/>
        <v>0</v>
      </c>
      <c r="F108" s="662">
        <f t="shared" si="13"/>
        <v>0</v>
      </c>
      <c r="G108" s="662">
        <f t="shared" si="14"/>
        <v>0</v>
      </c>
      <c r="H108" s="662">
        <f t="shared" si="15"/>
        <v>0</v>
      </c>
      <c r="I108" s="662">
        <f t="shared" si="16"/>
        <v>0</v>
      </c>
      <c r="J108" s="663">
        <f t="shared" si="17"/>
        <v>0</v>
      </c>
    </row>
    <row r="109" spans="2:10" ht="15.75" thickBot="1" x14ac:dyDescent="0.3">
      <c r="B109" s="664">
        <f>Amnt_Deposited!B101</f>
        <v>2040</v>
      </c>
      <c r="C109" s="665">
        <f>Amnt_Deposited!I101</f>
        <v>0</v>
      </c>
      <c r="D109" s="666">
        <f>MCF!R108</f>
        <v>1</v>
      </c>
      <c r="E109" s="667">
        <f t="shared" si="12"/>
        <v>0</v>
      </c>
      <c r="F109" s="667">
        <f t="shared" si="13"/>
        <v>0</v>
      </c>
      <c r="G109" s="667">
        <f t="shared" si="14"/>
        <v>0</v>
      </c>
      <c r="H109" s="667">
        <f t="shared" si="15"/>
        <v>0</v>
      </c>
      <c r="I109" s="667">
        <f t="shared" si="16"/>
        <v>0</v>
      </c>
      <c r="J109" s="668">
        <f t="shared" si="17"/>
        <v>0</v>
      </c>
    </row>
  </sheetData>
  <pageMargins left="0.7" right="0.7" top="0.78740157499999996" bottom="0.78740157499999996"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2:J109"/>
  <sheetViews>
    <sheetView workbookViewId="0"/>
  </sheetViews>
  <sheetFormatPr defaultRowHeight="15" x14ac:dyDescent="0.25"/>
  <cols>
    <col min="1" max="1" width="5.28515625" style="281" customWidth="1"/>
    <col min="2" max="2" width="9" style="281" customWidth="1"/>
    <col min="3" max="4" width="7.5703125" style="631" customWidth="1"/>
    <col min="5" max="5" width="10.85546875" style="281" customWidth="1"/>
    <col min="6" max="6" width="10.7109375" style="281" customWidth="1"/>
    <col min="7" max="7" width="14.42578125" style="281" customWidth="1"/>
    <col min="8" max="8" width="12.85546875" style="281" customWidth="1"/>
    <col min="9" max="9" width="11.5703125" style="281" customWidth="1"/>
    <col min="10" max="10" width="10.28515625" style="281" customWidth="1"/>
    <col min="11" max="256" width="9.140625" style="44"/>
    <col min="257" max="257" width="5.28515625" style="44" customWidth="1"/>
    <col min="258" max="258" width="9" style="44" customWidth="1"/>
    <col min="259" max="260" width="7.5703125" style="44" customWidth="1"/>
    <col min="261" max="261" width="10.85546875" style="44" customWidth="1"/>
    <col min="262" max="262" width="10.7109375" style="44" customWidth="1"/>
    <col min="263" max="263" width="14.42578125" style="44" customWidth="1"/>
    <col min="264" max="264" width="12.85546875" style="44" customWidth="1"/>
    <col min="265" max="265" width="11.5703125" style="44" customWidth="1"/>
    <col min="266" max="266" width="10.28515625" style="44" customWidth="1"/>
    <col min="267" max="512" width="9.140625" style="44"/>
    <col min="513" max="513" width="5.28515625" style="44" customWidth="1"/>
    <col min="514" max="514" width="9" style="44" customWidth="1"/>
    <col min="515" max="516" width="7.5703125" style="44" customWidth="1"/>
    <col min="517" max="517" width="10.85546875" style="44" customWidth="1"/>
    <col min="518" max="518" width="10.7109375" style="44" customWidth="1"/>
    <col min="519" max="519" width="14.42578125" style="44" customWidth="1"/>
    <col min="520" max="520" width="12.85546875" style="44" customWidth="1"/>
    <col min="521" max="521" width="11.5703125" style="44" customWidth="1"/>
    <col min="522" max="522" width="10.28515625" style="44" customWidth="1"/>
    <col min="523" max="768" width="9.140625" style="44"/>
    <col min="769" max="769" width="5.28515625" style="44" customWidth="1"/>
    <col min="770" max="770" width="9" style="44" customWidth="1"/>
    <col min="771" max="772" width="7.5703125" style="44" customWidth="1"/>
    <col min="773" max="773" width="10.85546875" style="44" customWidth="1"/>
    <col min="774" max="774" width="10.7109375" style="44" customWidth="1"/>
    <col min="775" max="775" width="14.42578125" style="44" customWidth="1"/>
    <col min="776" max="776" width="12.85546875" style="44" customWidth="1"/>
    <col min="777" max="777" width="11.5703125" style="44" customWidth="1"/>
    <col min="778" max="778" width="10.28515625" style="44" customWidth="1"/>
    <col min="779" max="1024" width="9.140625" style="44"/>
    <col min="1025" max="1025" width="5.28515625" style="44" customWidth="1"/>
    <col min="1026" max="1026" width="9" style="44" customWidth="1"/>
    <col min="1027" max="1028" width="7.5703125" style="44" customWidth="1"/>
    <col min="1029" max="1029" width="10.85546875" style="44" customWidth="1"/>
    <col min="1030" max="1030" width="10.7109375" style="44" customWidth="1"/>
    <col min="1031" max="1031" width="14.42578125" style="44" customWidth="1"/>
    <col min="1032" max="1032" width="12.85546875" style="44" customWidth="1"/>
    <col min="1033" max="1033" width="11.5703125" style="44" customWidth="1"/>
    <col min="1034" max="1034" width="10.28515625" style="44" customWidth="1"/>
    <col min="1035" max="1280" width="9.140625" style="44"/>
    <col min="1281" max="1281" width="5.28515625" style="44" customWidth="1"/>
    <col min="1282" max="1282" width="9" style="44" customWidth="1"/>
    <col min="1283" max="1284" width="7.5703125" style="44" customWidth="1"/>
    <col min="1285" max="1285" width="10.85546875" style="44" customWidth="1"/>
    <col min="1286" max="1286" width="10.7109375" style="44" customWidth="1"/>
    <col min="1287" max="1287" width="14.42578125" style="44" customWidth="1"/>
    <col min="1288" max="1288" width="12.85546875" style="44" customWidth="1"/>
    <col min="1289" max="1289" width="11.5703125" style="44" customWidth="1"/>
    <col min="1290" max="1290" width="10.28515625" style="44" customWidth="1"/>
    <col min="1291" max="1536" width="9.140625" style="44"/>
    <col min="1537" max="1537" width="5.28515625" style="44" customWidth="1"/>
    <col min="1538" max="1538" width="9" style="44" customWidth="1"/>
    <col min="1539" max="1540" width="7.5703125" style="44" customWidth="1"/>
    <col min="1541" max="1541" width="10.85546875" style="44" customWidth="1"/>
    <col min="1542" max="1542" width="10.7109375" style="44" customWidth="1"/>
    <col min="1543" max="1543" width="14.42578125" style="44" customWidth="1"/>
    <col min="1544" max="1544" width="12.85546875" style="44" customWidth="1"/>
    <col min="1545" max="1545" width="11.5703125" style="44" customWidth="1"/>
    <col min="1546" max="1546" width="10.28515625" style="44" customWidth="1"/>
    <col min="1547" max="1792" width="9.140625" style="44"/>
    <col min="1793" max="1793" width="5.28515625" style="44" customWidth="1"/>
    <col min="1794" max="1794" width="9" style="44" customWidth="1"/>
    <col min="1795" max="1796" width="7.5703125" style="44" customWidth="1"/>
    <col min="1797" max="1797" width="10.85546875" style="44" customWidth="1"/>
    <col min="1798" max="1798" width="10.7109375" style="44" customWidth="1"/>
    <col min="1799" max="1799" width="14.42578125" style="44" customWidth="1"/>
    <col min="1800" max="1800" width="12.85546875" style="44" customWidth="1"/>
    <col min="1801" max="1801" width="11.5703125" style="44" customWidth="1"/>
    <col min="1802" max="1802" width="10.28515625" style="44" customWidth="1"/>
    <col min="1803" max="2048" width="9.140625" style="44"/>
    <col min="2049" max="2049" width="5.28515625" style="44" customWidth="1"/>
    <col min="2050" max="2050" width="9" style="44" customWidth="1"/>
    <col min="2051" max="2052" width="7.5703125" style="44" customWidth="1"/>
    <col min="2053" max="2053" width="10.85546875" style="44" customWidth="1"/>
    <col min="2054" max="2054" width="10.7109375" style="44" customWidth="1"/>
    <col min="2055" max="2055" width="14.42578125" style="44" customWidth="1"/>
    <col min="2056" max="2056" width="12.85546875" style="44" customWidth="1"/>
    <col min="2057" max="2057" width="11.5703125" style="44" customWidth="1"/>
    <col min="2058" max="2058" width="10.28515625" style="44" customWidth="1"/>
    <col min="2059" max="2304" width="9.140625" style="44"/>
    <col min="2305" max="2305" width="5.28515625" style="44" customWidth="1"/>
    <col min="2306" max="2306" width="9" style="44" customWidth="1"/>
    <col min="2307" max="2308" width="7.5703125" style="44" customWidth="1"/>
    <col min="2309" max="2309" width="10.85546875" style="44" customWidth="1"/>
    <col min="2310" max="2310" width="10.7109375" style="44" customWidth="1"/>
    <col min="2311" max="2311" width="14.42578125" style="44" customWidth="1"/>
    <col min="2312" max="2312" width="12.85546875" style="44" customWidth="1"/>
    <col min="2313" max="2313" width="11.5703125" style="44" customWidth="1"/>
    <col min="2314" max="2314" width="10.28515625" style="44" customWidth="1"/>
    <col min="2315" max="2560" width="9.140625" style="44"/>
    <col min="2561" max="2561" width="5.28515625" style="44" customWidth="1"/>
    <col min="2562" max="2562" width="9" style="44" customWidth="1"/>
    <col min="2563" max="2564" width="7.5703125" style="44" customWidth="1"/>
    <col min="2565" max="2565" width="10.85546875" style="44" customWidth="1"/>
    <col min="2566" max="2566" width="10.7109375" style="44" customWidth="1"/>
    <col min="2567" max="2567" width="14.42578125" style="44" customWidth="1"/>
    <col min="2568" max="2568" width="12.85546875" style="44" customWidth="1"/>
    <col min="2569" max="2569" width="11.5703125" style="44" customWidth="1"/>
    <col min="2570" max="2570" width="10.28515625" style="44" customWidth="1"/>
    <col min="2571" max="2816" width="9.140625" style="44"/>
    <col min="2817" max="2817" width="5.28515625" style="44" customWidth="1"/>
    <col min="2818" max="2818" width="9" style="44" customWidth="1"/>
    <col min="2819" max="2820" width="7.5703125" style="44" customWidth="1"/>
    <col min="2821" max="2821" width="10.85546875" style="44" customWidth="1"/>
    <col min="2822" max="2822" width="10.7109375" style="44" customWidth="1"/>
    <col min="2823" max="2823" width="14.42578125" style="44" customWidth="1"/>
    <col min="2824" max="2824" width="12.85546875" style="44" customWidth="1"/>
    <col min="2825" max="2825" width="11.5703125" style="44" customWidth="1"/>
    <col min="2826" max="2826" width="10.28515625" style="44" customWidth="1"/>
    <col min="2827" max="3072" width="9.140625" style="44"/>
    <col min="3073" max="3073" width="5.28515625" style="44" customWidth="1"/>
    <col min="3074" max="3074" width="9" style="44" customWidth="1"/>
    <col min="3075" max="3076" width="7.5703125" style="44" customWidth="1"/>
    <col min="3077" max="3077" width="10.85546875" style="44" customWidth="1"/>
    <col min="3078" max="3078" width="10.7109375" style="44" customWidth="1"/>
    <col min="3079" max="3079" width="14.42578125" style="44" customWidth="1"/>
    <col min="3080" max="3080" width="12.85546875" style="44" customWidth="1"/>
    <col min="3081" max="3081" width="11.5703125" style="44" customWidth="1"/>
    <col min="3082" max="3082" width="10.28515625" style="44" customWidth="1"/>
    <col min="3083" max="3328" width="9.140625" style="44"/>
    <col min="3329" max="3329" width="5.28515625" style="44" customWidth="1"/>
    <col min="3330" max="3330" width="9" style="44" customWidth="1"/>
    <col min="3331" max="3332" width="7.5703125" style="44" customWidth="1"/>
    <col min="3333" max="3333" width="10.85546875" style="44" customWidth="1"/>
    <col min="3334" max="3334" width="10.7109375" style="44" customWidth="1"/>
    <col min="3335" max="3335" width="14.42578125" style="44" customWidth="1"/>
    <col min="3336" max="3336" width="12.85546875" style="44" customWidth="1"/>
    <col min="3337" max="3337" width="11.5703125" style="44" customWidth="1"/>
    <col min="3338" max="3338" width="10.28515625" style="44" customWidth="1"/>
    <col min="3339" max="3584" width="9.140625" style="44"/>
    <col min="3585" max="3585" width="5.28515625" style="44" customWidth="1"/>
    <col min="3586" max="3586" width="9" style="44" customWidth="1"/>
    <col min="3587" max="3588" width="7.5703125" style="44" customWidth="1"/>
    <col min="3589" max="3589" width="10.85546875" style="44" customWidth="1"/>
    <col min="3590" max="3590" width="10.7109375" style="44" customWidth="1"/>
    <col min="3591" max="3591" width="14.42578125" style="44" customWidth="1"/>
    <col min="3592" max="3592" width="12.85546875" style="44" customWidth="1"/>
    <col min="3593" max="3593" width="11.5703125" style="44" customWidth="1"/>
    <col min="3594" max="3594" width="10.28515625" style="44" customWidth="1"/>
    <col min="3595" max="3840" width="9.140625" style="44"/>
    <col min="3841" max="3841" width="5.28515625" style="44" customWidth="1"/>
    <col min="3842" max="3842" width="9" style="44" customWidth="1"/>
    <col min="3843" max="3844" width="7.5703125" style="44" customWidth="1"/>
    <col min="3845" max="3845" width="10.85546875" style="44" customWidth="1"/>
    <col min="3846" max="3846" width="10.7109375" style="44" customWidth="1"/>
    <col min="3847" max="3847" width="14.42578125" style="44" customWidth="1"/>
    <col min="3848" max="3848" width="12.85546875" style="44" customWidth="1"/>
    <col min="3849" max="3849" width="11.5703125" style="44" customWidth="1"/>
    <col min="3850" max="3850" width="10.28515625" style="44" customWidth="1"/>
    <col min="3851" max="4096" width="9.140625" style="44"/>
    <col min="4097" max="4097" width="5.28515625" style="44" customWidth="1"/>
    <col min="4098" max="4098" width="9" style="44" customWidth="1"/>
    <col min="4099" max="4100" width="7.5703125" style="44" customWidth="1"/>
    <col min="4101" max="4101" width="10.85546875" style="44" customWidth="1"/>
    <col min="4102" max="4102" width="10.7109375" style="44" customWidth="1"/>
    <col min="4103" max="4103" width="14.42578125" style="44" customWidth="1"/>
    <col min="4104" max="4104" width="12.85546875" style="44" customWidth="1"/>
    <col min="4105" max="4105" width="11.5703125" style="44" customWidth="1"/>
    <col min="4106" max="4106" width="10.28515625" style="44" customWidth="1"/>
    <col min="4107" max="4352" width="9.140625" style="44"/>
    <col min="4353" max="4353" width="5.28515625" style="44" customWidth="1"/>
    <col min="4354" max="4354" width="9" style="44" customWidth="1"/>
    <col min="4355" max="4356" width="7.5703125" style="44" customWidth="1"/>
    <col min="4357" max="4357" width="10.85546875" style="44" customWidth="1"/>
    <col min="4358" max="4358" width="10.7109375" style="44" customWidth="1"/>
    <col min="4359" max="4359" width="14.42578125" style="44" customWidth="1"/>
    <col min="4360" max="4360" width="12.85546875" style="44" customWidth="1"/>
    <col min="4361" max="4361" width="11.5703125" style="44" customWidth="1"/>
    <col min="4362" max="4362" width="10.28515625" style="44" customWidth="1"/>
    <col min="4363" max="4608" width="9.140625" style="44"/>
    <col min="4609" max="4609" width="5.28515625" style="44" customWidth="1"/>
    <col min="4610" max="4610" width="9" style="44" customWidth="1"/>
    <col min="4611" max="4612" width="7.5703125" style="44" customWidth="1"/>
    <col min="4613" max="4613" width="10.85546875" style="44" customWidth="1"/>
    <col min="4614" max="4614" width="10.7109375" style="44" customWidth="1"/>
    <col min="4615" max="4615" width="14.42578125" style="44" customWidth="1"/>
    <col min="4616" max="4616" width="12.85546875" style="44" customWidth="1"/>
    <col min="4617" max="4617" width="11.5703125" style="44" customWidth="1"/>
    <col min="4618" max="4618" width="10.28515625" style="44" customWidth="1"/>
    <col min="4619" max="4864" width="9.140625" style="44"/>
    <col min="4865" max="4865" width="5.28515625" style="44" customWidth="1"/>
    <col min="4866" max="4866" width="9" style="44" customWidth="1"/>
    <col min="4867" max="4868" width="7.5703125" style="44" customWidth="1"/>
    <col min="4869" max="4869" width="10.85546875" style="44" customWidth="1"/>
    <col min="4870" max="4870" width="10.7109375" style="44" customWidth="1"/>
    <col min="4871" max="4871" width="14.42578125" style="44" customWidth="1"/>
    <col min="4872" max="4872" width="12.85546875" style="44" customWidth="1"/>
    <col min="4873" max="4873" width="11.5703125" style="44" customWidth="1"/>
    <col min="4874" max="4874" width="10.28515625" style="44" customWidth="1"/>
    <col min="4875" max="5120" width="9.140625" style="44"/>
    <col min="5121" max="5121" width="5.28515625" style="44" customWidth="1"/>
    <col min="5122" max="5122" width="9" style="44" customWidth="1"/>
    <col min="5123" max="5124" width="7.5703125" style="44" customWidth="1"/>
    <col min="5125" max="5125" width="10.85546875" style="44" customWidth="1"/>
    <col min="5126" max="5126" width="10.7109375" style="44" customWidth="1"/>
    <col min="5127" max="5127" width="14.42578125" style="44" customWidth="1"/>
    <col min="5128" max="5128" width="12.85546875" style="44" customWidth="1"/>
    <col min="5129" max="5129" width="11.5703125" style="44" customWidth="1"/>
    <col min="5130" max="5130" width="10.28515625" style="44" customWidth="1"/>
    <col min="5131" max="5376" width="9.140625" style="44"/>
    <col min="5377" max="5377" width="5.28515625" style="44" customWidth="1"/>
    <col min="5378" max="5378" width="9" style="44" customWidth="1"/>
    <col min="5379" max="5380" width="7.5703125" style="44" customWidth="1"/>
    <col min="5381" max="5381" width="10.85546875" style="44" customWidth="1"/>
    <col min="5382" max="5382" width="10.7109375" style="44" customWidth="1"/>
    <col min="5383" max="5383" width="14.42578125" style="44" customWidth="1"/>
    <col min="5384" max="5384" width="12.85546875" style="44" customWidth="1"/>
    <col min="5385" max="5385" width="11.5703125" style="44" customWidth="1"/>
    <col min="5386" max="5386" width="10.28515625" style="44" customWidth="1"/>
    <col min="5387" max="5632" width="9.140625" style="44"/>
    <col min="5633" max="5633" width="5.28515625" style="44" customWidth="1"/>
    <col min="5634" max="5634" width="9" style="44" customWidth="1"/>
    <col min="5635" max="5636" width="7.5703125" style="44" customWidth="1"/>
    <col min="5637" max="5637" width="10.85546875" style="44" customWidth="1"/>
    <col min="5638" max="5638" width="10.7109375" style="44" customWidth="1"/>
    <col min="5639" max="5639" width="14.42578125" style="44" customWidth="1"/>
    <col min="5640" max="5640" width="12.85546875" style="44" customWidth="1"/>
    <col min="5641" max="5641" width="11.5703125" style="44" customWidth="1"/>
    <col min="5642" max="5642" width="10.28515625" style="44" customWidth="1"/>
    <col min="5643" max="5888" width="9.140625" style="44"/>
    <col min="5889" max="5889" width="5.28515625" style="44" customWidth="1"/>
    <col min="5890" max="5890" width="9" style="44" customWidth="1"/>
    <col min="5891" max="5892" width="7.5703125" style="44" customWidth="1"/>
    <col min="5893" max="5893" width="10.85546875" style="44" customWidth="1"/>
    <col min="5894" max="5894" width="10.7109375" style="44" customWidth="1"/>
    <col min="5895" max="5895" width="14.42578125" style="44" customWidth="1"/>
    <col min="5896" max="5896" width="12.85546875" style="44" customWidth="1"/>
    <col min="5897" max="5897" width="11.5703125" style="44" customWidth="1"/>
    <col min="5898" max="5898" width="10.28515625" style="44" customWidth="1"/>
    <col min="5899" max="6144" width="9.140625" style="44"/>
    <col min="6145" max="6145" width="5.28515625" style="44" customWidth="1"/>
    <col min="6146" max="6146" width="9" style="44" customWidth="1"/>
    <col min="6147" max="6148" width="7.5703125" style="44" customWidth="1"/>
    <col min="6149" max="6149" width="10.85546875" style="44" customWidth="1"/>
    <col min="6150" max="6150" width="10.7109375" style="44" customWidth="1"/>
    <col min="6151" max="6151" width="14.42578125" style="44" customWidth="1"/>
    <col min="6152" max="6152" width="12.85546875" style="44" customWidth="1"/>
    <col min="6153" max="6153" width="11.5703125" style="44" customWidth="1"/>
    <col min="6154" max="6154" width="10.28515625" style="44" customWidth="1"/>
    <col min="6155" max="6400" width="9.140625" style="44"/>
    <col min="6401" max="6401" width="5.28515625" style="44" customWidth="1"/>
    <col min="6402" max="6402" width="9" style="44" customWidth="1"/>
    <col min="6403" max="6404" width="7.5703125" style="44" customWidth="1"/>
    <col min="6405" max="6405" width="10.85546875" style="44" customWidth="1"/>
    <col min="6406" max="6406" width="10.7109375" style="44" customWidth="1"/>
    <col min="6407" max="6407" width="14.42578125" style="44" customWidth="1"/>
    <col min="6408" max="6408" width="12.85546875" style="44" customWidth="1"/>
    <col min="6409" max="6409" width="11.5703125" style="44" customWidth="1"/>
    <col min="6410" max="6410" width="10.28515625" style="44" customWidth="1"/>
    <col min="6411" max="6656" width="9.140625" style="44"/>
    <col min="6657" max="6657" width="5.28515625" style="44" customWidth="1"/>
    <col min="6658" max="6658" width="9" style="44" customWidth="1"/>
    <col min="6659" max="6660" width="7.5703125" style="44" customWidth="1"/>
    <col min="6661" max="6661" width="10.85546875" style="44" customWidth="1"/>
    <col min="6662" max="6662" width="10.7109375" style="44" customWidth="1"/>
    <col min="6663" max="6663" width="14.42578125" style="44" customWidth="1"/>
    <col min="6664" max="6664" width="12.85546875" style="44" customWidth="1"/>
    <col min="6665" max="6665" width="11.5703125" style="44" customWidth="1"/>
    <col min="6666" max="6666" width="10.28515625" style="44" customWidth="1"/>
    <col min="6667" max="6912" width="9.140625" style="44"/>
    <col min="6913" max="6913" width="5.28515625" style="44" customWidth="1"/>
    <col min="6914" max="6914" width="9" style="44" customWidth="1"/>
    <col min="6915" max="6916" width="7.5703125" style="44" customWidth="1"/>
    <col min="6917" max="6917" width="10.85546875" style="44" customWidth="1"/>
    <col min="6918" max="6918" width="10.7109375" style="44" customWidth="1"/>
    <col min="6919" max="6919" width="14.42578125" style="44" customWidth="1"/>
    <col min="6920" max="6920" width="12.85546875" style="44" customWidth="1"/>
    <col min="6921" max="6921" width="11.5703125" style="44" customWidth="1"/>
    <col min="6922" max="6922" width="10.28515625" style="44" customWidth="1"/>
    <col min="6923" max="7168" width="9.140625" style="44"/>
    <col min="7169" max="7169" width="5.28515625" style="44" customWidth="1"/>
    <col min="7170" max="7170" width="9" style="44" customWidth="1"/>
    <col min="7171" max="7172" width="7.5703125" style="44" customWidth="1"/>
    <col min="7173" max="7173" width="10.85546875" style="44" customWidth="1"/>
    <col min="7174" max="7174" width="10.7109375" style="44" customWidth="1"/>
    <col min="7175" max="7175" width="14.42578125" style="44" customWidth="1"/>
    <col min="7176" max="7176" width="12.85546875" style="44" customWidth="1"/>
    <col min="7177" max="7177" width="11.5703125" style="44" customWidth="1"/>
    <col min="7178" max="7178" width="10.28515625" style="44" customWidth="1"/>
    <col min="7179" max="7424" width="9.140625" style="44"/>
    <col min="7425" max="7425" width="5.28515625" style="44" customWidth="1"/>
    <col min="7426" max="7426" width="9" style="44" customWidth="1"/>
    <col min="7427" max="7428" width="7.5703125" style="44" customWidth="1"/>
    <col min="7429" max="7429" width="10.85546875" style="44" customWidth="1"/>
    <col min="7430" max="7430" width="10.7109375" style="44" customWidth="1"/>
    <col min="7431" max="7431" width="14.42578125" style="44" customWidth="1"/>
    <col min="7432" max="7432" width="12.85546875" style="44" customWidth="1"/>
    <col min="7433" max="7433" width="11.5703125" style="44" customWidth="1"/>
    <col min="7434" max="7434" width="10.28515625" style="44" customWidth="1"/>
    <col min="7435" max="7680" width="9.140625" style="44"/>
    <col min="7681" max="7681" width="5.28515625" style="44" customWidth="1"/>
    <col min="7682" max="7682" width="9" style="44" customWidth="1"/>
    <col min="7683" max="7684" width="7.5703125" style="44" customWidth="1"/>
    <col min="7685" max="7685" width="10.85546875" style="44" customWidth="1"/>
    <col min="7686" max="7686" width="10.7109375" style="44" customWidth="1"/>
    <col min="7687" max="7687" width="14.42578125" style="44" customWidth="1"/>
    <col min="7688" max="7688" width="12.85546875" style="44" customWidth="1"/>
    <col min="7689" max="7689" width="11.5703125" style="44" customWidth="1"/>
    <col min="7690" max="7690" width="10.28515625" style="44" customWidth="1"/>
    <col min="7691" max="7936" width="9.140625" style="44"/>
    <col min="7937" max="7937" width="5.28515625" style="44" customWidth="1"/>
    <col min="7938" max="7938" width="9" style="44" customWidth="1"/>
    <col min="7939" max="7940" width="7.5703125" style="44" customWidth="1"/>
    <col min="7941" max="7941" width="10.85546875" style="44" customWidth="1"/>
    <col min="7942" max="7942" width="10.7109375" style="44" customWidth="1"/>
    <col min="7943" max="7943" width="14.42578125" style="44" customWidth="1"/>
    <col min="7944" max="7944" width="12.85546875" style="44" customWidth="1"/>
    <col min="7945" max="7945" width="11.5703125" style="44" customWidth="1"/>
    <col min="7946" max="7946" width="10.28515625" style="44" customWidth="1"/>
    <col min="7947" max="8192" width="9.140625" style="44"/>
    <col min="8193" max="8193" width="5.28515625" style="44" customWidth="1"/>
    <col min="8194" max="8194" width="9" style="44" customWidth="1"/>
    <col min="8195" max="8196" width="7.5703125" style="44" customWidth="1"/>
    <col min="8197" max="8197" width="10.85546875" style="44" customWidth="1"/>
    <col min="8198" max="8198" width="10.7109375" style="44" customWidth="1"/>
    <col min="8199" max="8199" width="14.42578125" style="44" customWidth="1"/>
    <col min="8200" max="8200" width="12.85546875" style="44" customWidth="1"/>
    <col min="8201" max="8201" width="11.5703125" style="44" customWidth="1"/>
    <col min="8202" max="8202" width="10.28515625" style="44" customWidth="1"/>
    <col min="8203" max="8448" width="9.140625" style="44"/>
    <col min="8449" max="8449" width="5.28515625" style="44" customWidth="1"/>
    <col min="8450" max="8450" width="9" style="44" customWidth="1"/>
    <col min="8451" max="8452" width="7.5703125" style="44" customWidth="1"/>
    <col min="8453" max="8453" width="10.85546875" style="44" customWidth="1"/>
    <col min="8454" max="8454" width="10.7109375" style="44" customWidth="1"/>
    <col min="8455" max="8455" width="14.42578125" style="44" customWidth="1"/>
    <col min="8456" max="8456" width="12.85546875" style="44" customWidth="1"/>
    <col min="8457" max="8457" width="11.5703125" style="44" customWidth="1"/>
    <col min="8458" max="8458" width="10.28515625" style="44" customWidth="1"/>
    <col min="8459" max="8704" width="9.140625" style="44"/>
    <col min="8705" max="8705" width="5.28515625" style="44" customWidth="1"/>
    <col min="8706" max="8706" width="9" style="44" customWidth="1"/>
    <col min="8707" max="8708" width="7.5703125" style="44" customWidth="1"/>
    <col min="8709" max="8709" width="10.85546875" style="44" customWidth="1"/>
    <col min="8710" max="8710" width="10.7109375" style="44" customWidth="1"/>
    <col min="8711" max="8711" width="14.42578125" style="44" customWidth="1"/>
    <col min="8712" max="8712" width="12.85546875" style="44" customWidth="1"/>
    <col min="8713" max="8713" width="11.5703125" style="44" customWidth="1"/>
    <col min="8714" max="8714" width="10.28515625" style="44" customWidth="1"/>
    <col min="8715" max="8960" width="9.140625" style="44"/>
    <col min="8961" max="8961" width="5.28515625" style="44" customWidth="1"/>
    <col min="8962" max="8962" width="9" style="44" customWidth="1"/>
    <col min="8963" max="8964" width="7.5703125" style="44" customWidth="1"/>
    <col min="8965" max="8965" width="10.85546875" style="44" customWidth="1"/>
    <col min="8966" max="8966" width="10.7109375" style="44" customWidth="1"/>
    <col min="8967" max="8967" width="14.42578125" style="44" customWidth="1"/>
    <col min="8968" max="8968" width="12.85546875" style="44" customWidth="1"/>
    <col min="8969" max="8969" width="11.5703125" style="44" customWidth="1"/>
    <col min="8970" max="8970" width="10.28515625" style="44" customWidth="1"/>
    <col min="8971" max="9216" width="9.140625" style="44"/>
    <col min="9217" max="9217" width="5.28515625" style="44" customWidth="1"/>
    <col min="9218" max="9218" width="9" style="44" customWidth="1"/>
    <col min="9219" max="9220" width="7.5703125" style="44" customWidth="1"/>
    <col min="9221" max="9221" width="10.85546875" style="44" customWidth="1"/>
    <col min="9222" max="9222" width="10.7109375" style="44" customWidth="1"/>
    <col min="9223" max="9223" width="14.42578125" style="44" customWidth="1"/>
    <col min="9224" max="9224" width="12.85546875" style="44" customWidth="1"/>
    <col min="9225" max="9225" width="11.5703125" style="44" customWidth="1"/>
    <col min="9226" max="9226" width="10.28515625" style="44" customWidth="1"/>
    <col min="9227" max="9472" width="9.140625" style="44"/>
    <col min="9473" max="9473" width="5.28515625" style="44" customWidth="1"/>
    <col min="9474" max="9474" width="9" style="44" customWidth="1"/>
    <col min="9475" max="9476" width="7.5703125" style="44" customWidth="1"/>
    <col min="9477" max="9477" width="10.85546875" style="44" customWidth="1"/>
    <col min="9478" max="9478" width="10.7109375" style="44" customWidth="1"/>
    <col min="9479" max="9479" width="14.42578125" style="44" customWidth="1"/>
    <col min="9480" max="9480" width="12.85546875" style="44" customWidth="1"/>
    <col min="9481" max="9481" width="11.5703125" style="44" customWidth="1"/>
    <col min="9482" max="9482" width="10.28515625" style="44" customWidth="1"/>
    <col min="9483" max="9728" width="9.140625" style="44"/>
    <col min="9729" max="9729" width="5.28515625" style="44" customWidth="1"/>
    <col min="9730" max="9730" width="9" style="44" customWidth="1"/>
    <col min="9731" max="9732" width="7.5703125" style="44" customWidth="1"/>
    <col min="9733" max="9733" width="10.85546875" style="44" customWidth="1"/>
    <col min="9734" max="9734" width="10.7109375" style="44" customWidth="1"/>
    <col min="9735" max="9735" width="14.42578125" style="44" customWidth="1"/>
    <col min="9736" max="9736" width="12.85546875" style="44" customWidth="1"/>
    <col min="9737" max="9737" width="11.5703125" style="44" customWidth="1"/>
    <col min="9738" max="9738" width="10.28515625" style="44" customWidth="1"/>
    <col min="9739" max="9984" width="9.140625" style="44"/>
    <col min="9985" max="9985" width="5.28515625" style="44" customWidth="1"/>
    <col min="9986" max="9986" width="9" style="44" customWidth="1"/>
    <col min="9987" max="9988" width="7.5703125" style="44" customWidth="1"/>
    <col min="9989" max="9989" width="10.85546875" style="44" customWidth="1"/>
    <col min="9990" max="9990" width="10.7109375" style="44" customWidth="1"/>
    <col min="9991" max="9991" width="14.42578125" style="44" customWidth="1"/>
    <col min="9992" max="9992" width="12.85546875" style="44" customWidth="1"/>
    <col min="9993" max="9993" width="11.5703125" style="44" customWidth="1"/>
    <col min="9994" max="9994" width="10.28515625" style="44" customWidth="1"/>
    <col min="9995" max="10240" width="9.140625" style="44"/>
    <col min="10241" max="10241" width="5.28515625" style="44" customWidth="1"/>
    <col min="10242" max="10242" width="9" style="44" customWidth="1"/>
    <col min="10243" max="10244" width="7.5703125" style="44" customWidth="1"/>
    <col min="10245" max="10245" width="10.85546875" style="44" customWidth="1"/>
    <col min="10246" max="10246" width="10.7109375" style="44" customWidth="1"/>
    <col min="10247" max="10247" width="14.42578125" style="44" customWidth="1"/>
    <col min="10248" max="10248" width="12.85546875" style="44" customWidth="1"/>
    <col min="10249" max="10249" width="11.5703125" style="44" customWidth="1"/>
    <col min="10250" max="10250" width="10.28515625" style="44" customWidth="1"/>
    <col min="10251" max="10496" width="9.140625" style="44"/>
    <col min="10497" max="10497" width="5.28515625" style="44" customWidth="1"/>
    <col min="10498" max="10498" width="9" style="44" customWidth="1"/>
    <col min="10499" max="10500" width="7.5703125" style="44" customWidth="1"/>
    <col min="10501" max="10501" width="10.85546875" style="44" customWidth="1"/>
    <col min="10502" max="10502" width="10.7109375" style="44" customWidth="1"/>
    <col min="10503" max="10503" width="14.42578125" style="44" customWidth="1"/>
    <col min="10504" max="10504" width="12.85546875" style="44" customWidth="1"/>
    <col min="10505" max="10505" width="11.5703125" style="44" customWidth="1"/>
    <col min="10506" max="10506" width="10.28515625" style="44" customWidth="1"/>
    <col min="10507" max="10752" width="9.140625" style="44"/>
    <col min="10753" max="10753" width="5.28515625" style="44" customWidth="1"/>
    <col min="10754" max="10754" width="9" style="44" customWidth="1"/>
    <col min="10755" max="10756" width="7.5703125" style="44" customWidth="1"/>
    <col min="10757" max="10757" width="10.85546875" style="44" customWidth="1"/>
    <col min="10758" max="10758" width="10.7109375" style="44" customWidth="1"/>
    <col min="10759" max="10759" width="14.42578125" style="44" customWidth="1"/>
    <col min="10760" max="10760" width="12.85546875" style="44" customWidth="1"/>
    <col min="10761" max="10761" width="11.5703125" style="44" customWidth="1"/>
    <col min="10762" max="10762" width="10.28515625" style="44" customWidth="1"/>
    <col min="10763" max="11008" width="9.140625" style="44"/>
    <col min="11009" max="11009" width="5.28515625" style="44" customWidth="1"/>
    <col min="11010" max="11010" width="9" style="44" customWidth="1"/>
    <col min="11011" max="11012" width="7.5703125" style="44" customWidth="1"/>
    <col min="11013" max="11013" width="10.85546875" style="44" customWidth="1"/>
    <col min="11014" max="11014" width="10.7109375" style="44" customWidth="1"/>
    <col min="11015" max="11015" width="14.42578125" style="44" customWidth="1"/>
    <col min="11016" max="11016" width="12.85546875" style="44" customWidth="1"/>
    <col min="11017" max="11017" width="11.5703125" style="44" customWidth="1"/>
    <col min="11018" max="11018" width="10.28515625" style="44" customWidth="1"/>
    <col min="11019" max="11264" width="9.140625" style="44"/>
    <col min="11265" max="11265" width="5.28515625" style="44" customWidth="1"/>
    <col min="11266" max="11266" width="9" style="44" customWidth="1"/>
    <col min="11267" max="11268" width="7.5703125" style="44" customWidth="1"/>
    <col min="11269" max="11269" width="10.85546875" style="44" customWidth="1"/>
    <col min="11270" max="11270" width="10.7109375" style="44" customWidth="1"/>
    <col min="11271" max="11271" width="14.42578125" style="44" customWidth="1"/>
    <col min="11272" max="11272" width="12.85546875" style="44" customWidth="1"/>
    <col min="11273" max="11273" width="11.5703125" style="44" customWidth="1"/>
    <col min="11274" max="11274" width="10.28515625" style="44" customWidth="1"/>
    <col min="11275" max="11520" width="9.140625" style="44"/>
    <col min="11521" max="11521" width="5.28515625" style="44" customWidth="1"/>
    <col min="11522" max="11522" width="9" style="44" customWidth="1"/>
    <col min="11523" max="11524" width="7.5703125" style="44" customWidth="1"/>
    <col min="11525" max="11525" width="10.85546875" style="44" customWidth="1"/>
    <col min="11526" max="11526" width="10.7109375" style="44" customWidth="1"/>
    <col min="11527" max="11527" width="14.42578125" style="44" customWidth="1"/>
    <col min="11528" max="11528" width="12.85546875" style="44" customWidth="1"/>
    <col min="11529" max="11529" width="11.5703125" style="44" customWidth="1"/>
    <col min="11530" max="11530" width="10.28515625" style="44" customWidth="1"/>
    <col min="11531" max="11776" width="9.140625" style="44"/>
    <col min="11777" max="11777" width="5.28515625" style="44" customWidth="1"/>
    <col min="11778" max="11778" width="9" style="44" customWidth="1"/>
    <col min="11779" max="11780" width="7.5703125" style="44" customWidth="1"/>
    <col min="11781" max="11781" width="10.85546875" style="44" customWidth="1"/>
    <col min="11782" max="11782" width="10.7109375" style="44" customWidth="1"/>
    <col min="11783" max="11783" width="14.42578125" style="44" customWidth="1"/>
    <col min="11784" max="11784" width="12.85546875" style="44" customWidth="1"/>
    <col min="11785" max="11785" width="11.5703125" style="44" customWidth="1"/>
    <col min="11786" max="11786" width="10.28515625" style="44" customWidth="1"/>
    <col min="11787" max="12032" width="9.140625" style="44"/>
    <col min="12033" max="12033" width="5.28515625" style="44" customWidth="1"/>
    <col min="12034" max="12034" width="9" style="44" customWidth="1"/>
    <col min="12035" max="12036" width="7.5703125" style="44" customWidth="1"/>
    <col min="12037" max="12037" width="10.85546875" style="44" customWidth="1"/>
    <col min="12038" max="12038" width="10.7109375" style="44" customWidth="1"/>
    <col min="12039" max="12039" width="14.42578125" style="44" customWidth="1"/>
    <col min="12040" max="12040" width="12.85546875" style="44" customWidth="1"/>
    <col min="12041" max="12041" width="11.5703125" style="44" customWidth="1"/>
    <col min="12042" max="12042" width="10.28515625" style="44" customWidth="1"/>
    <col min="12043" max="12288" width="9.140625" style="44"/>
    <col min="12289" max="12289" width="5.28515625" style="44" customWidth="1"/>
    <col min="12290" max="12290" width="9" style="44" customWidth="1"/>
    <col min="12291" max="12292" width="7.5703125" style="44" customWidth="1"/>
    <col min="12293" max="12293" width="10.85546875" style="44" customWidth="1"/>
    <col min="12294" max="12294" width="10.7109375" style="44" customWidth="1"/>
    <col min="12295" max="12295" width="14.42578125" style="44" customWidth="1"/>
    <col min="12296" max="12296" width="12.85546875" style="44" customWidth="1"/>
    <col min="12297" max="12297" width="11.5703125" style="44" customWidth="1"/>
    <col min="12298" max="12298" width="10.28515625" style="44" customWidth="1"/>
    <col min="12299" max="12544" width="9.140625" style="44"/>
    <col min="12545" max="12545" width="5.28515625" style="44" customWidth="1"/>
    <col min="12546" max="12546" width="9" style="44" customWidth="1"/>
    <col min="12547" max="12548" width="7.5703125" style="44" customWidth="1"/>
    <col min="12549" max="12549" width="10.85546875" style="44" customWidth="1"/>
    <col min="12550" max="12550" width="10.7109375" style="44" customWidth="1"/>
    <col min="12551" max="12551" width="14.42578125" style="44" customWidth="1"/>
    <col min="12552" max="12552" width="12.85546875" style="44" customWidth="1"/>
    <col min="12553" max="12553" width="11.5703125" style="44" customWidth="1"/>
    <col min="12554" max="12554" width="10.28515625" style="44" customWidth="1"/>
    <col min="12555" max="12800" width="9.140625" style="44"/>
    <col min="12801" max="12801" width="5.28515625" style="44" customWidth="1"/>
    <col min="12802" max="12802" width="9" style="44" customWidth="1"/>
    <col min="12803" max="12804" width="7.5703125" style="44" customWidth="1"/>
    <col min="12805" max="12805" width="10.85546875" style="44" customWidth="1"/>
    <col min="12806" max="12806" width="10.7109375" style="44" customWidth="1"/>
    <col min="12807" max="12807" width="14.42578125" style="44" customWidth="1"/>
    <col min="12808" max="12808" width="12.85546875" style="44" customWidth="1"/>
    <col min="12809" max="12809" width="11.5703125" style="44" customWidth="1"/>
    <col min="12810" max="12810" width="10.28515625" style="44" customWidth="1"/>
    <col min="12811" max="13056" width="9.140625" style="44"/>
    <col min="13057" max="13057" width="5.28515625" style="44" customWidth="1"/>
    <col min="13058" max="13058" width="9" style="44" customWidth="1"/>
    <col min="13059" max="13060" width="7.5703125" style="44" customWidth="1"/>
    <col min="13061" max="13061" width="10.85546875" style="44" customWidth="1"/>
    <col min="13062" max="13062" width="10.7109375" style="44" customWidth="1"/>
    <col min="13063" max="13063" width="14.42578125" style="44" customWidth="1"/>
    <col min="13064" max="13064" width="12.85546875" style="44" customWidth="1"/>
    <col min="13065" max="13065" width="11.5703125" style="44" customWidth="1"/>
    <col min="13066" max="13066" width="10.28515625" style="44" customWidth="1"/>
    <col min="13067" max="13312" width="9.140625" style="44"/>
    <col min="13313" max="13313" width="5.28515625" style="44" customWidth="1"/>
    <col min="13314" max="13314" width="9" style="44" customWidth="1"/>
    <col min="13315" max="13316" width="7.5703125" style="44" customWidth="1"/>
    <col min="13317" max="13317" width="10.85546875" style="44" customWidth="1"/>
    <col min="13318" max="13318" width="10.7109375" style="44" customWidth="1"/>
    <col min="13319" max="13319" width="14.42578125" style="44" customWidth="1"/>
    <col min="13320" max="13320" width="12.85546875" style="44" customWidth="1"/>
    <col min="13321" max="13321" width="11.5703125" style="44" customWidth="1"/>
    <col min="13322" max="13322" width="10.28515625" style="44" customWidth="1"/>
    <col min="13323" max="13568" width="9.140625" style="44"/>
    <col min="13569" max="13569" width="5.28515625" style="44" customWidth="1"/>
    <col min="13570" max="13570" width="9" style="44" customWidth="1"/>
    <col min="13571" max="13572" width="7.5703125" style="44" customWidth="1"/>
    <col min="13573" max="13573" width="10.85546875" style="44" customWidth="1"/>
    <col min="13574" max="13574" width="10.7109375" style="44" customWidth="1"/>
    <col min="13575" max="13575" width="14.42578125" style="44" customWidth="1"/>
    <col min="13576" max="13576" width="12.85546875" style="44" customWidth="1"/>
    <col min="13577" max="13577" width="11.5703125" style="44" customWidth="1"/>
    <col min="13578" max="13578" width="10.28515625" style="44" customWidth="1"/>
    <col min="13579" max="13824" width="9.140625" style="44"/>
    <col min="13825" max="13825" width="5.28515625" style="44" customWidth="1"/>
    <col min="13826" max="13826" width="9" style="44" customWidth="1"/>
    <col min="13827" max="13828" width="7.5703125" style="44" customWidth="1"/>
    <col min="13829" max="13829" width="10.85546875" style="44" customWidth="1"/>
    <col min="13830" max="13830" width="10.7109375" style="44" customWidth="1"/>
    <col min="13831" max="13831" width="14.42578125" style="44" customWidth="1"/>
    <col min="13832" max="13832" width="12.85546875" style="44" customWidth="1"/>
    <col min="13833" max="13833" width="11.5703125" style="44" customWidth="1"/>
    <col min="13834" max="13834" width="10.28515625" style="44" customWidth="1"/>
    <col min="13835" max="14080" width="9.140625" style="44"/>
    <col min="14081" max="14081" width="5.28515625" style="44" customWidth="1"/>
    <col min="14082" max="14082" width="9" style="44" customWidth="1"/>
    <col min="14083" max="14084" width="7.5703125" style="44" customWidth="1"/>
    <col min="14085" max="14085" width="10.85546875" style="44" customWidth="1"/>
    <col min="14086" max="14086" width="10.7109375" style="44" customWidth="1"/>
    <col min="14087" max="14087" width="14.42578125" style="44" customWidth="1"/>
    <col min="14088" max="14088" width="12.85546875" style="44" customWidth="1"/>
    <col min="14089" max="14089" width="11.5703125" style="44" customWidth="1"/>
    <col min="14090" max="14090" width="10.28515625" style="44" customWidth="1"/>
    <col min="14091" max="14336" width="9.140625" style="44"/>
    <col min="14337" max="14337" width="5.28515625" style="44" customWidth="1"/>
    <col min="14338" max="14338" width="9" style="44" customWidth="1"/>
    <col min="14339" max="14340" width="7.5703125" style="44" customWidth="1"/>
    <col min="14341" max="14341" width="10.85546875" style="44" customWidth="1"/>
    <col min="14342" max="14342" width="10.7109375" style="44" customWidth="1"/>
    <col min="14343" max="14343" width="14.42578125" style="44" customWidth="1"/>
    <col min="14344" max="14344" width="12.85546875" style="44" customWidth="1"/>
    <col min="14345" max="14345" width="11.5703125" style="44" customWidth="1"/>
    <col min="14346" max="14346" width="10.28515625" style="44" customWidth="1"/>
    <col min="14347" max="14592" width="9.140625" style="44"/>
    <col min="14593" max="14593" width="5.28515625" style="44" customWidth="1"/>
    <col min="14594" max="14594" width="9" style="44" customWidth="1"/>
    <col min="14595" max="14596" width="7.5703125" style="44" customWidth="1"/>
    <col min="14597" max="14597" width="10.85546875" style="44" customWidth="1"/>
    <col min="14598" max="14598" width="10.7109375" style="44" customWidth="1"/>
    <col min="14599" max="14599" width="14.42578125" style="44" customWidth="1"/>
    <col min="14600" max="14600" width="12.85546875" style="44" customWidth="1"/>
    <col min="14601" max="14601" width="11.5703125" style="44" customWidth="1"/>
    <col min="14602" max="14602" width="10.28515625" style="44" customWidth="1"/>
    <col min="14603" max="14848" width="9.140625" style="44"/>
    <col min="14849" max="14849" width="5.28515625" style="44" customWidth="1"/>
    <col min="14850" max="14850" width="9" style="44" customWidth="1"/>
    <col min="14851" max="14852" width="7.5703125" style="44" customWidth="1"/>
    <col min="14853" max="14853" width="10.85546875" style="44" customWidth="1"/>
    <col min="14854" max="14854" width="10.7109375" style="44" customWidth="1"/>
    <col min="14855" max="14855" width="14.42578125" style="44" customWidth="1"/>
    <col min="14856" max="14856" width="12.85546875" style="44" customWidth="1"/>
    <col min="14857" max="14857" width="11.5703125" style="44" customWidth="1"/>
    <col min="14858" max="14858" width="10.28515625" style="44" customWidth="1"/>
    <col min="14859" max="15104" width="9.140625" style="44"/>
    <col min="15105" max="15105" width="5.28515625" style="44" customWidth="1"/>
    <col min="15106" max="15106" width="9" style="44" customWidth="1"/>
    <col min="15107" max="15108" width="7.5703125" style="44" customWidth="1"/>
    <col min="15109" max="15109" width="10.85546875" style="44" customWidth="1"/>
    <col min="15110" max="15110" width="10.7109375" style="44" customWidth="1"/>
    <col min="15111" max="15111" width="14.42578125" style="44" customWidth="1"/>
    <col min="15112" max="15112" width="12.85546875" style="44" customWidth="1"/>
    <col min="15113" max="15113" width="11.5703125" style="44" customWidth="1"/>
    <col min="15114" max="15114" width="10.28515625" style="44" customWidth="1"/>
    <col min="15115" max="15360" width="9.140625" style="44"/>
    <col min="15361" max="15361" width="5.28515625" style="44" customWidth="1"/>
    <col min="15362" max="15362" width="9" style="44" customWidth="1"/>
    <col min="15363" max="15364" width="7.5703125" style="44" customWidth="1"/>
    <col min="15365" max="15365" width="10.85546875" style="44" customWidth="1"/>
    <col min="15366" max="15366" width="10.7109375" style="44" customWidth="1"/>
    <col min="15367" max="15367" width="14.42578125" style="44" customWidth="1"/>
    <col min="15368" max="15368" width="12.85546875" style="44" customWidth="1"/>
    <col min="15369" max="15369" width="11.5703125" style="44" customWidth="1"/>
    <col min="15370" max="15370" width="10.28515625" style="44" customWidth="1"/>
    <col min="15371" max="15616" width="9.140625" style="44"/>
    <col min="15617" max="15617" width="5.28515625" style="44" customWidth="1"/>
    <col min="15618" max="15618" width="9" style="44" customWidth="1"/>
    <col min="15619" max="15620" width="7.5703125" style="44" customWidth="1"/>
    <col min="15621" max="15621" width="10.85546875" style="44" customWidth="1"/>
    <col min="15622" max="15622" width="10.7109375" style="44" customWidth="1"/>
    <col min="15623" max="15623" width="14.42578125" style="44" customWidth="1"/>
    <col min="15624" max="15624" width="12.85546875" style="44" customWidth="1"/>
    <col min="15625" max="15625" width="11.5703125" style="44" customWidth="1"/>
    <col min="15626" max="15626" width="10.28515625" style="44" customWidth="1"/>
    <col min="15627" max="15872" width="9.140625" style="44"/>
    <col min="15873" max="15873" width="5.28515625" style="44" customWidth="1"/>
    <col min="15874" max="15874" width="9" style="44" customWidth="1"/>
    <col min="15875" max="15876" width="7.5703125" style="44" customWidth="1"/>
    <col min="15877" max="15877" width="10.85546875" style="44" customWidth="1"/>
    <col min="15878" max="15878" width="10.7109375" style="44" customWidth="1"/>
    <col min="15879" max="15879" width="14.42578125" style="44" customWidth="1"/>
    <col min="15880" max="15880" width="12.85546875" style="44" customWidth="1"/>
    <col min="15881" max="15881" width="11.5703125" style="44" customWidth="1"/>
    <col min="15882" max="15882" width="10.28515625" style="44" customWidth="1"/>
    <col min="15883" max="16128" width="9.140625" style="44"/>
    <col min="16129" max="16129" width="5.28515625" style="44" customWidth="1"/>
    <col min="16130" max="16130" width="9" style="44" customWidth="1"/>
    <col min="16131" max="16132" width="7.5703125" style="44" customWidth="1"/>
    <col min="16133" max="16133" width="10.85546875" style="44" customWidth="1"/>
    <col min="16134" max="16134" width="10.7109375" style="44" customWidth="1"/>
    <col min="16135" max="16135" width="14.42578125" style="44" customWidth="1"/>
    <col min="16136" max="16136" width="12.85546875" style="44" customWidth="1"/>
    <col min="16137" max="16137" width="11.5703125" style="44" customWidth="1"/>
    <col min="16138" max="16138" width="10.28515625" style="44" customWidth="1"/>
    <col min="16139" max="16384" width="9.140625" style="44"/>
  </cols>
  <sheetData>
    <row r="2" spans="1:10" ht="15.75" x14ac:dyDescent="0.25">
      <c r="B2" s="669" t="s">
        <v>290</v>
      </c>
      <c r="C2" s="586"/>
      <c r="D2" s="586"/>
      <c r="E2" s="587"/>
      <c r="F2" s="587"/>
      <c r="G2" s="587"/>
      <c r="H2" s="587"/>
      <c r="I2" s="587"/>
      <c r="J2" s="587"/>
    </row>
    <row r="3" spans="1:10" ht="15.75" x14ac:dyDescent="0.25">
      <c r="A3" s="588" t="str">
        <f>IF(Select2=1,"This sheet applies only to the bulk waste option and can be deleted when the waste composition option has been chosen","")</f>
        <v>This sheet applies only to the bulk waste option and can be deleted when the waste composition option has been chosen</v>
      </c>
      <c r="B3" s="585"/>
      <c r="C3" s="586"/>
      <c r="D3" s="586"/>
      <c r="E3" s="587"/>
      <c r="F3" s="587"/>
      <c r="G3" s="587"/>
      <c r="H3" s="587"/>
      <c r="I3" s="587"/>
      <c r="J3" s="587"/>
    </row>
    <row r="4" spans="1:10" ht="16.5" thickBot="1" x14ac:dyDescent="0.3">
      <c r="A4" s="235"/>
      <c r="B4" s="590"/>
      <c r="C4" s="670"/>
      <c r="D4" s="670"/>
      <c r="E4" s="592"/>
      <c r="F4" s="592"/>
      <c r="G4" s="592"/>
      <c r="H4" s="592"/>
      <c r="I4" s="592"/>
      <c r="J4" s="592"/>
    </row>
    <row r="5" spans="1:10" ht="30.75" thickBot="1" x14ac:dyDescent="0.3">
      <c r="A5" s="593"/>
      <c r="B5" s="594"/>
      <c r="C5" s="595"/>
      <c r="D5" s="596"/>
      <c r="E5" s="596"/>
      <c r="F5" s="596"/>
      <c r="G5" s="596"/>
      <c r="H5" s="597" t="s">
        <v>255</v>
      </c>
      <c r="J5" s="596"/>
    </row>
    <row r="6" spans="1:10" x14ac:dyDescent="0.25">
      <c r="A6" s="593"/>
      <c r="B6" s="594"/>
      <c r="C6" s="598" t="s">
        <v>256</v>
      </c>
      <c r="D6" s="599"/>
      <c r="E6" s="599"/>
      <c r="F6" s="600"/>
      <c r="G6" s="601" t="s">
        <v>256</v>
      </c>
      <c r="H6" s="602">
        <f>Parameters!M20</f>
        <v>0</v>
      </c>
      <c r="J6" s="596"/>
    </row>
    <row r="7" spans="1:10" ht="15.75" thickBot="1" x14ac:dyDescent="0.3">
      <c r="A7" s="593"/>
      <c r="B7" s="594"/>
      <c r="C7" s="603" t="s">
        <v>257</v>
      </c>
      <c r="D7" s="604"/>
      <c r="E7" s="604"/>
      <c r="F7" s="605"/>
      <c r="G7" s="606" t="s">
        <v>257</v>
      </c>
      <c r="H7" s="607">
        <f>DOCF</f>
        <v>0.5</v>
      </c>
      <c r="J7" s="596"/>
    </row>
    <row r="8" spans="1:10" x14ac:dyDescent="0.25">
      <c r="C8" s="598" t="s">
        <v>258</v>
      </c>
      <c r="D8" s="599"/>
      <c r="E8" s="599"/>
      <c r="F8" s="600"/>
      <c r="G8" s="601" t="s">
        <v>259</v>
      </c>
      <c r="H8" s="608">
        <f>Parameters!M34</f>
        <v>0.09</v>
      </c>
      <c r="J8" s="609"/>
    </row>
    <row r="9" spans="1:10" ht="15.75" x14ac:dyDescent="0.3">
      <c r="C9" s="610" t="s">
        <v>260</v>
      </c>
      <c r="D9" s="611"/>
      <c r="E9" s="611"/>
      <c r="F9" s="612"/>
      <c r="G9" s="613" t="s">
        <v>261</v>
      </c>
      <c r="H9" s="614">
        <f>LN(2)/$H$8</f>
        <v>7.7016353395549482</v>
      </c>
      <c r="J9" s="609"/>
    </row>
    <row r="10" spans="1:10" x14ac:dyDescent="0.25">
      <c r="C10" s="615" t="s">
        <v>262</v>
      </c>
      <c r="D10" s="616"/>
      <c r="E10" s="616"/>
      <c r="F10" s="617"/>
      <c r="G10" s="618" t="s">
        <v>263</v>
      </c>
      <c r="H10" s="619">
        <f>EXP(-$H$8)</f>
        <v>0.91393118527122819</v>
      </c>
      <c r="J10" s="609"/>
    </row>
    <row r="11" spans="1:10" x14ac:dyDescent="0.25">
      <c r="C11" s="615" t="s">
        <v>264</v>
      </c>
      <c r="D11" s="616"/>
      <c r="E11" s="616"/>
      <c r="F11" s="617"/>
      <c r="G11" s="618" t="s">
        <v>265</v>
      </c>
      <c r="H11" s="619">
        <f>Parameters!E37+7</f>
        <v>13</v>
      </c>
      <c r="J11" s="609"/>
    </row>
    <row r="12" spans="1:10" ht="15.75" thickBot="1" x14ac:dyDescent="0.3">
      <c r="C12" s="620" t="s">
        <v>266</v>
      </c>
      <c r="D12" s="621"/>
      <c r="E12" s="621"/>
      <c r="F12" s="622"/>
      <c r="G12" s="623" t="s">
        <v>267</v>
      </c>
      <c r="H12" s="624">
        <f>EXP(-$H$8*((13-H11)/12))</f>
        <v>1</v>
      </c>
      <c r="J12" s="609"/>
    </row>
    <row r="13" spans="1:10" ht="15.75" thickBot="1" x14ac:dyDescent="0.3">
      <c r="B13" s="625"/>
      <c r="C13" s="626" t="s">
        <v>268</v>
      </c>
      <c r="D13" s="627"/>
      <c r="E13" s="627"/>
      <c r="F13" s="628"/>
      <c r="G13" s="629" t="s">
        <v>123</v>
      </c>
      <c r="H13" s="630">
        <f>CH4_fraction</f>
        <v>0.55000000000000004</v>
      </c>
      <c r="J13" s="609"/>
    </row>
    <row r="14" spans="1:10" ht="15.75" thickBot="1" x14ac:dyDescent="0.3">
      <c r="E14" s="609"/>
      <c r="F14" s="609"/>
      <c r="G14" s="609"/>
      <c r="H14" s="609"/>
      <c r="I14" s="609"/>
      <c r="J14" s="609"/>
    </row>
    <row r="15" spans="1:10" ht="75" x14ac:dyDescent="0.25">
      <c r="A15" s="632" t="s">
        <v>66</v>
      </c>
      <c r="B15" s="633" t="s">
        <v>269</v>
      </c>
      <c r="C15" s="634" t="s">
        <v>60</v>
      </c>
      <c r="D15" s="634" t="s">
        <v>256</v>
      </c>
      <c r="E15" s="635" t="s">
        <v>270</v>
      </c>
      <c r="F15" s="635" t="s">
        <v>271</v>
      </c>
      <c r="G15" s="635" t="s">
        <v>272</v>
      </c>
      <c r="H15" s="635" t="s">
        <v>273</v>
      </c>
      <c r="I15" s="635" t="s">
        <v>274</v>
      </c>
      <c r="J15" s="636" t="s">
        <v>275</v>
      </c>
    </row>
    <row r="16" spans="1:10" ht="23.25" x14ac:dyDescent="0.25">
      <c r="A16" s="638"/>
      <c r="B16" s="639" t="s">
        <v>276</v>
      </c>
      <c r="C16" s="640" t="s">
        <v>60</v>
      </c>
      <c r="D16" s="640" t="s">
        <v>256</v>
      </c>
      <c r="E16" s="641" t="s">
        <v>277</v>
      </c>
      <c r="F16" s="641" t="s">
        <v>278</v>
      </c>
      <c r="G16" s="641" t="s">
        <v>279</v>
      </c>
      <c r="H16" s="641" t="s">
        <v>280</v>
      </c>
      <c r="I16" s="641" t="s">
        <v>281</v>
      </c>
      <c r="J16" s="642" t="s">
        <v>282</v>
      </c>
    </row>
    <row r="17" spans="1:10" ht="30.75" thickBot="1" x14ac:dyDescent="0.3">
      <c r="A17" s="262"/>
      <c r="B17" s="643" t="s">
        <v>93</v>
      </c>
      <c r="C17" s="644" t="s">
        <v>283</v>
      </c>
      <c r="D17" s="644" t="s">
        <v>283</v>
      </c>
      <c r="E17" s="645" t="s">
        <v>93</v>
      </c>
      <c r="F17" s="645" t="s">
        <v>93</v>
      </c>
      <c r="G17" s="645" t="s">
        <v>93</v>
      </c>
      <c r="H17" s="645" t="s">
        <v>93</v>
      </c>
      <c r="I17" s="645" t="s">
        <v>93</v>
      </c>
      <c r="J17" s="646" t="s">
        <v>93</v>
      </c>
    </row>
    <row r="18" spans="1:10" ht="15.75" thickBot="1" x14ac:dyDescent="0.3">
      <c r="A18" s="647"/>
      <c r="B18" s="648"/>
      <c r="C18" s="649"/>
      <c r="D18" s="682"/>
      <c r="E18" s="650"/>
      <c r="F18" s="651"/>
      <c r="G18" s="651"/>
      <c r="H18" s="651"/>
      <c r="I18" s="651"/>
      <c r="J18" s="652"/>
    </row>
    <row r="19" spans="1:10" x14ac:dyDescent="0.25">
      <c r="A19" s="653">
        <f>Amnt_Deposited!B11</f>
        <v>1950</v>
      </c>
      <c r="B19" s="654">
        <f>Amnt_Deposited!J11</f>
        <v>3420</v>
      </c>
      <c r="C19" s="683">
        <f>MCF!R18</f>
        <v>0.6</v>
      </c>
      <c r="D19" s="684">
        <f>$H$6</f>
        <v>0</v>
      </c>
      <c r="E19" s="656">
        <f t="shared" ref="E19:E50" si="0">B19*D19*DOCF*C19</f>
        <v>0</v>
      </c>
      <c r="F19" s="657">
        <f t="shared" ref="F19:F82" si="1">E19*$H$12</f>
        <v>0</v>
      </c>
      <c r="G19" s="657">
        <f t="shared" ref="G19:G82" si="2">E19*(1-$H$12)</f>
        <v>0</v>
      </c>
      <c r="H19" s="657">
        <f t="shared" ref="H19:H82" si="3">F19+H18*$H$10</f>
        <v>0</v>
      </c>
      <c r="I19" s="657">
        <f t="shared" ref="I19:I82" si="4">H18*(1-$H$10)+G19</f>
        <v>0</v>
      </c>
      <c r="J19" s="658">
        <f>I19*CH4_fraction*conv</f>
        <v>0</v>
      </c>
    </row>
    <row r="20" spans="1:10" x14ac:dyDescent="0.25">
      <c r="A20" s="659">
        <f>Amnt_Deposited!B12</f>
        <v>1951</v>
      </c>
      <c r="B20" s="660">
        <f>Amnt_Deposited!J12</f>
        <v>3420</v>
      </c>
      <c r="C20" s="685">
        <f>MCF!R19</f>
        <v>0.6</v>
      </c>
      <c r="D20" s="684">
        <f t="shared" ref="D20:D83" si="5">$H$6</f>
        <v>0</v>
      </c>
      <c r="E20" s="656">
        <f t="shared" si="0"/>
        <v>0</v>
      </c>
      <c r="F20" s="662">
        <f t="shared" si="1"/>
        <v>0</v>
      </c>
      <c r="G20" s="662">
        <f t="shared" si="2"/>
        <v>0</v>
      </c>
      <c r="H20" s="662">
        <f t="shared" si="3"/>
        <v>0</v>
      </c>
      <c r="I20" s="662">
        <f t="shared" si="4"/>
        <v>0</v>
      </c>
      <c r="J20" s="663">
        <f>I20*CH4_fraction*conv</f>
        <v>0</v>
      </c>
    </row>
    <row r="21" spans="1:10" x14ac:dyDescent="0.25">
      <c r="A21" s="659">
        <f>Amnt_Deposited!B13</f>
        <v>1952</v>
      </c>
      <c r="B21" s="660">
        <f>Amnt_Deposited!J13</f>
        <v>3420</v>
      </c>
      <c r="C21" s="685">
        <f>MCF!R20</f>
        <v>0.6</v>
      </c>
      <c r="D21" s="684">
        <f t="shared" si="5"/>
        <v>0</v>
      </c>
      <c r="E21" s="656">
        <f t="shared" si="0"/>
        <v>0</v>
      </c>
      <c r="F21" s="662">
        <f t="shared" si="1"/>
        <v>0</v>
      </c>
      <c r="G21" s="662">
        <f t="shared" si="2"/>
        <v>0</v>
      </c>
      <c r="H21" s="662">
        <f t="shared" si="3"/>
        <v>0</v>
      </c>
      <c r="I21" s="662">
        <f t="shared" si="4"/>
        <v>0</v>
      </c>
      <c r="J21" s="663">
        <f t="shared" ref="J21:J84" si="6">I21*CH4_fraction*conv</f>
        <v>0</v>
      </c>
    </row>
    <row r="22" spans="1:10" x14ac:dyDescent="0.25">
      <c r="A22" s="659">
        <f>Amnt_Deposited!B14</f>
        <v>1953</v>
      </c>
      <c r="B22" s="660">
        <f>Amnt_Deposited!J14</f>
        <v>3420</v>
      </c>
      <c r="C22" s="685">
        <f>MCF!R21</f>
        <v>0.6</v>
      </c>
      <c r="D22" s="684">
        <f t="shared" si="5"/>
        <v>0</v>
      </c>
      <c r="E22" s="656">
        <f t="shared" si="0"/>
        <v>0</v>
      </c>
      <c r="F22" s="662">
        <f t="shared" si="1"/>
        <v>0</v>
      </c>
      <c r="G22" s="662">
        <f t="shared" si="2"/>
        <v>0</v>
      </c>
      <c r="H22" s="662">
        <f t="shared" si="3"/>
        <v>0</v>
      </c>
      <c r="I22" s="662">
        <f t="shared" si="4"/>
        <v>0</v>
      </c>
      <c r="J22" s="663">
        <f t="shared" si="6"/>
        <v>0</v>
      </c>
    </row>
    <row r="23" spans="1:10" x14ac:dyDescent="0.25">
      <c r="A23" s="659">
        <f>Amnt_Deposited!B15</f>
        <v>1954</v>
      </c>
      <c r="B23" s="660">
        <f>Amnt_Deposited!J15</f>
        <v>3420</v>
      </c>
      <c r="C23" s="685">
        <f>MCF!R22</f>
        <v>0.6</v>
      </c>
      <c r="D23" s="684">
        <f t="shared" si="5"/>
        <v>0</v>
      </c>
      <c r="E23" s="656">
        <f t="shared" si="0"/>
        <v>0</v>
      </c>
      <c r="F23" s="662">
        <f t="shared" si="1"/>
        <v>0</v>
      </c>
      <c r="G23" s="662">
        <f t="shared" si="2"/>
        <v>0</v>
      </c>
      <c r="H23" s="662">
        <f t="shared" si="3"/>
        <v>0</v>
      </c>
      <c r="I23" s="662">
        <f t="shared" si="4"/>
        <v>0</v>
      </c>
      <c r="J23" s="663">
        <f t="shared" si="6"/>
        <v>0</v>
      </c>
    </row>
    <row r="24" spans="1:10" x14ac:dyDescent="0.25">
      <c r="A24" s="659">
        <f>Amnt_Deposited!B16</f>
        <v>1955</v>
      </c>
      <c r="B24" s="660">
        <f>Amnt_Deposited!J16</f>
        <v>3420</v>
      </c>
      <c r="C24" s="685">
        <f>MCF!R23</f>
        <v>0.6</v>
      </c>
      <c r="D24" s="684">
        <f t="shared" si="5"/>
        <v>0</v>
      </c>
      <c r="E24" s="656">
        <f t="shared" si="0"/>
        <v>0</v>
      </c>
      <c r="F24" s="662">
        <f t="shared" si="1"/>
        <v>0</v>
      </c>
      <c r="G24" s="662">
        <f t="shared" si="2"/>
        <v>0</v>
      </c>
      <c r="H24" s="662">
        <f t="shared" si="3"/>
        <v>0</v>
      </c>
      <c r="I24" s="662">
        <f t="shared" si="4"/>
        <v>0</v>
      </c>
      <c r="J24" s="663">
        <f t="shared" si="6"/>
        <v>0</v>
      </c>
    </row>
    <row r="25" spans="1:10" x14ac:dyDescent="0.25">
      <c r="A25" s="659">
        <f>Amnt_Deposited!B17</f>
        <v>1956</v>
      </c>
      <c r="B25" s="660">
        <f>Amnt_Deposited!J17</f>
        <v>3420</v>
      </c>
      <c r="C25" s="685">
        <f>MCF!R24</f>
        <v>0.6</v>
      </c>
      <c r="D25" s="684">
        <f t="shared" si="5"/>
        <v>0</v>
      </c>
      <c r="E25" s="656">
        <f t="shared" si="0"/>
        <v>0</v>
      </c>
      <c r="F25" s="662">
        <f t="shared" si="1"/>
        <v>0</v>
      </c>
      <c r="G25" s="662">
        <f t="shared" si="2"/>
        <v>0</v>
      </c>
      <c r="H25" s="662">
        <f t="shared" si="3"/>
        <v>0</v>
      </c>
      <c r="I25" s="662">
        <f t="shared" si="4"/>
        <v>0</v>
      </c>
      <c r="J25" s="663">
        <f t="shared" si="6"/>
        <v>0</v>
      </c>
    </row>
    <row r="26" spans="1:10" x14ac:dyDescent="0.25">
      <c r="A26" s="659">
        <f>Amnt_Deposited!B18</f>
        <v>1957</v>
      </c>
      <c r="B26" s="660">
        <f>Amnt_Deposited!J18</f>
        <v>3420</v>
      </c>
      <c r="C26" s="685">
        <f>MCF!R25</f>
        <v>0.6</v>
      </c>
      <c r="D26" s="684">
        <f t="shared" si="5"/>
        <v>0</v>
      </c>
      <c r="E26" s="656">
        <f t="shared" si="0"/>
        <v>0</v>
      </c>
      <c r="F26" s="662">
        <f t="shared" si="1"/>
        <v>0</v>
      </c>
      <c r="G26" s="662">
        <f t="shared" si="2"/>
        <v>0</v>
      </c>
      <c r="H26" s="662">
        <f t="shared" si="3"/>
        <v>0</v>
      </c>
      <c r="I26" s="662">
        <f t="shared" si="4"/>
        <v>0</v>
      </c>
      <c r="J26" s="663">
        <f t="shared" si="6"/>
        <v>0</v>
      </c>
    </row>
    <row r="27" spans="1:10" x14ac:dyDescent="0.25">
      <c r="A27" s="659">
        <f>Amnt_Deposited!B19</f>
        <v>1958</v>
      </c>
      <c r="B27" s="660">
        <f>Amnt_Deposited!J19</f>
        <v>3420</v>
      </c>
      <c r="C27" s="685">
        <f>MCF!R26</f>
        <v>0.6</v>
      </c>
      <c r="D27" s="684">
        <f t="shared" si="5"/>
        <v>0</v>
      </c>
      <c r="E27" s="656">
        <f t="shared" si="0"/>
        <v>0</v>
      </c>
      <c r="F27" s="662">
        <f t="shared" si="1"/>
        <v>0</v>
      </c>
      <c r="G27" s="662">
        <f t="shared" si="2"/>
        <v>0</v>
      </c>
      <c r="H27" s="662">
        <f t="shared" si="3"/>
        <v>0</v>
      </c>
      <c r="I27" s="662">
        <f t="shared" si="4"/>
        <v>0</v>
      </c>
      <c r="J27" s="663">
        <f t="shared" si="6"/>
        <v>0</v>
      </c>
    </row>
    <row r="28" spans="1:10" x14ac:dyDescent="0.25">
      <c r="A28" s="659">
        <f>Amnt_Deposited!B20</f>
        <v>1959</v>
      </c>
      <c r="B28" s="660">
        <f>Amnt_Deposited!J20</f>
        <v>3420</v>
      </c>
      <c r="C28" s="685">
        <f>MCF!R27</f>
        <v>0.6</v>
      </c>
      <c r="D28" s="684">
        <f t="shared" si="5"/>
        <v>0</v>
      </c>
      <c r="E28" s="656">
        <f t="shared" si="0"/>
        <v>0</v>
      </c>
      <c r="F28" s="662">
        <f t="shared" si="1"/>
        <v>0</v>
      </c>
      <c r="G28" s="662">
        <f t="shared" si="2"/>
        <v>0</v>
      </c>
      <c r="H28" s="662">
        <f t="shared" si="3"/>
        <v>0</v>
      </c>
      <c r="I28" s="662">
        <f t="shared" si="4"/>
        <v>0</v>
      </c>
      <c r="J28" s="663">
        <f t="shared" si="6"/>
        <v>0</v>
      </c>
    </row>
    <row r="29" spans="1:10" x14ac:dyDescent="0.25">
      <c r="A29" s="659">
        <f>Amnt_Deposited!B21</f>
        <v>1960</v>
      </c>
      <c r="B29" s="660">
        <f>Amnt_Deposited!J21</f>
        <v>3420</v>
      </c>
      <c r="C29" s="685">
        <f>MCF!R28</f>
        <v>0.6</v>
      </c>
      <c r="D29" s="684">
        <f t="shared" si="5"/>
        <v>0</v>
      </c>
      <c r="E29" s="656">
        <f t="shared" si="0"/>
        <v>0</v>
      </c>
      <c r="F29" s="662">
        <f t="shared" si="1"/>
        <v>0</v>
      </c>
      <c r="G29" s="662">
        <f t="shared" si="2"/>
        <v>0</v>
      </c>
      <c r="H29" s="662">
        <f t="shared" si="3"/>
        <v>0</v>
      </c>
      <c r="I29" s="662">
        <f t="shared" si="4"/>
        <v>0</v>
      </c>
      <c r="J29" s="663">
        <f t="shared" si="6"/>
        <v>0</v>
      </c>
    </row>
    <row r="30" spans="1:10" x14ac:dyDescent="0.25">
      <c r="A30" s="659">
        <f>Amnt_Deposited!B22</f>
        <v>1961</v>
      </c>
      <c r="B30" s="660">
        <f>Amnt_Deposited!J22</f>
        <v>3420</v>
      </c>
      <c r="C30" s="685">
        <f>MCF!R29</f>
        <v>0.6</v>
      </c>
      <c r="D30" s="684">
        <f t="shared" si="5"/>
        <v>0</v>
      </c>
      <c r="E30" s="656">
        <f t="shared" si="0"/>
        <v>0</v>
      </c>
      <c r="F30" s="662">
        <f t="shared" si="1"/>
        <v>0</v>
      </c>
      <c r="G30" s="662">
        <f t="shared" si="2"/>
        <v>0</v>
      </c>
      <c r="H30" s="662">
        <f t="shared" si="3"/>
        <v>0</v>
      </c>
      <c r="I30" s="662">
        <f t="shared" si="4"/>
        <v>0</v>
      </c>
      <c r="J30" s="663">
        <f t="shared" si="6"/>
        <v>0</v>
      </c>
    </row>
    <row r="31" spans="1:10" x14ac:dyDescent="0.25">
      <c r="A31" s="659">
        <f>Amnt_Deposited!B23</f>
        <v>1962</v>
      </c>
      <c r="B31" s="660">
        <f>Amnt_Deposited!J23</f>
        <v>3420</v>
      </c>
      <c r="C31" s="685">
        <f>MCF!R30</f>
        <v>0.6</v>
      </c>
      <c r="D31" s="684">
        <f t="shared" si="5"/>
        <v>0</v>
      </c>
      <c r="E31" s="656">
        <f t="shared" si="0"/>
        <v>0</v>
      </c>
      <c r="F31" s="662">
        <f t="shared" si="1"/>
        <v>0</v>
      </c>
      <c r="G31" s="662">
        <f t="shared" si="2"/>
        <v>0</v>
      </c>
      <c r="H31" s="662">
        <f t="shared" si="3"/>
        <v>0</v>
      </c>
      <c r="I31" s="662">
        <f t="shared" si="4"/>
        <v>0</v>
      </c>
      <c r="J31" s="663">
        <f t="shared" si="6"/>
        <v>0</v>
      </c>
    </row>
    <row r="32" spans="1:10" x14ac:dyDescent="0.25">
      <c r="A32" s="659">
        <f>Amnt_Deposited!B24</f>
        <v>1963</v>
      </c>
      <c r="B32" s="660">
        <f>Amnt_Deposited!J24</f>
        <v>3420</v>
      </c>
      <c r="C32" s="685">
        <f>MCF!R31</f>
        <v>0.6</v>
      </c>
      <c r="D32" s="684">
        <f t="shared" si="5"/>
        <v>0</v>
      </c>
      <c r="E32" s="656">
        <f t="shared" si="0"/>
        <v>0</v>
      </c>
      <c r="F32" s="662">
        <f t="shared" si="1"/>
        <v>0</v>
      </c>
      <c r="G32" s="662">
        <f t="shared" si="2"/>
        <v>0</v>
      </c>
      <c r="H32" s="662">
        <f t="shared" si="3"/>
        <v>0</v>
      </c>
      <c r="I32" s="662">
        <f t="shared" si="4"/>
        <v>0</v>
      </c>
      <c r="J32" s="663">
        <f t="shared" si="6"/>
        <v>0</v>
      </c>
    </row>
    <row r="33" spans="1:10" x14ac:dyDescent="0.25">
      <c r="A33" s="659">
        <f>Amnt_Deposited!B25</f>
        <v>1964</v>
      </c>
      <c r="B33" s="660">
        <f>Amnt_Deposited!J25</f>
        <v>3420</v>
      </c>
      <c r="C33" s="685">
        <f>MCF!R32</f>
        <v>0.6</v>
      </c>
      <c r="D33" s="684">
        <f t="shared" si="5"/>
        <v>0</v>
      </c>
      <c r="E33" s="656">
        <f t="shared" si="0"/>
        <v>0</v>
      </c>
      <c r="F33" s="662">
        <f t="shared" si="1"/>
        <v>0</v>
      </c>
      <c r="G33" s="662">
        <f t="shared" si="2"/>
        <v>0</v>
      </c>
      <c r="H33" s="662">
        <f t="shared" si="3"/>
        <v>0</v>
      </c>
      <c r="I33" s="662">
        <f t="shared" si="4"/>
        <v>0</v>
      </c>
      <c r="J33" s="663">
        <f t="shared" si="6"/>
        <v>0</v>
      </c>
    </row>
    <row r="34" spans="1:10" x14ac:dyDescent="0.25">
      <c r="A34" s="659">
        <f>Amnt_Deposited!B26</f>
        <v>1965</v>
      </c>
      <c r="B34" s="660">
        <f>Amnt_Deposited!J26</f>
        <v>3420</v>
      </c>
      <c r="C34" s="685">
        <f>MCF!R33</f>
        <v>0.6</v>
      </c>
      <c r="D34" s="684">
        <f t="shared" si="5"/>
        <v>0</v>
      </c>
      <c r="E34" s="656">
        <f t="shared" si="0"/>
        <v>0</v>
      </c>
      <c r="F34" s="662">
        <f t="shared" si="1"/>
        <v>0</v>
      </c>
      <c r="G34" s="662">
        <f t="shared" si="2"/>
        <v>0</v>
      </c>
      <c r="H34" s="662">
        <f t="shared" si="3"/>
        <v>0</v>
      </c>
      <c r="I34" s="662">
        <f t="shared" si="4"/>
        <v>0</v>
      </c>
      <c r="J34" s="663">
        <f t="shared" si="6"/>
        <v>0</v>
      </c>
    </row>
    <row r="35" spans="1:10" x14ac:dyDescent="0.25">
      <c r="A35" s="659">
        <f>Amnt_Deposited!B27</f>
        <v>1966</v>
      </c>
      <c r="B35" s="660">
        <f>Amnt_Deposited!J27</f>
        <v>3420</v>
      </c>
      <c r="C35" s="685">
        <f>MCF!R34</f>
        <v>0.6</v>
      </c>
      <c r="D35" s="684">
        <f t="shared" si="5"/>
        <v>0</v>
      </c>
      <c r="E35" s="656">
        <f t="shared" si="0"/>
        <v>0</v>
      </c>
      <c r="F35" s="662">
        <f t="shared" si="1"/>
        <v>0</v>
      </c>
      <c r="G35" s="662">
        <f t="shared" si="2"/>
        <v>0</v>
      </c>
      <c r="H35" s="662">
        <f t="shared" si="3"/>
        <v>0</v>
      </c>
      <c r="I35" s="662">
        <f t="shared" si="4"/>
        <v>0</v>
      </c>
      <c r="J35" s="663">
        <f t="shared" si="6"/>
        <v>0</v>
      </c>
    </row>
    <row r="36" spans="1:10" x14ac:dyDescent="0.25">
      <c r="A36" s="659">
        <f>Amnt_Deposited!B28</f>
        <v>1967</v>
      </c>
      <c r="B36" s="660">
        <f>Amnt_Deposited!J28</f>
        <v>3420</v>
      </c>
      <c r="C36" s="685">
        <f>MCF!R35</f>
        <v>0.6</v>
      </c>
      <c r="D36" s="684">
        <f t="shared" si="5"/>
        <v>0</v>
      </c>
      <c r="E36" s="656">
        <f t="shared" si="0"/>
        <v>0</v>
      </c>
      <c r="F36" s="662">
        <f t="shared" si="1"/>
        <v>0</v>
      </c>
      <c r="G36" s="662">
        <f t="shared" si="2"/>
        <v>0</v>
      </c>
      <c r="H36" s="662">
        <f t="shared" si="3"/>
        <v>0</v>
      </c>
      <c r="I36" s="662">
        <f t="shared" si="4"/>
        <v>0</v>
      </c>
      <c r="J36" s="663">
        <f t="shared" si="6"/>
        <v>0</v>
      </c>
    </row>
    <row r="37" spans="1:10" x14ac:dyDescent="0.25">
      <c r="A37" s="659">
        <f>Amnt_Deposited!B29</f>
        <v>1968</v>
      </c>
      <c r="B37" s="660">
        <f>Amnt_Deposited!J29</f>
        <v>3420</v>
      </c>
      <c r="C37" s="685">
        <f>MCF!R36</f>
        <v>0.6</v>
      </c>
      <c r="D37" s="684">
        <f t="shared" si="5"/>
        <v>0</v>
      </c>
      <c r="E37" s="656">
        <f t="shared" si="0"/>
        <v>0</v>
      </c>
      <c r="F37" s="662">
        <f t="shared" si="1"/>
        <v>0</v>
      </c>
      <c r="G37" s="662">
        <f t="shared" si="2"/>
        <v>0</v>
      </c>
      <c r="H37" s="662">
        <f t="shared" si="3"/>
        <v>0</v>
      </c>
      <c r="I37" s="662">
        <f t="shared" si="4"/>
        <v>0</v>
      </c>
      <c r="J37" s="663">
        <f t="shared" si="6"/>
        <v>0</v>
      </c>
    </row>
    <row r="38" spans="1:10" x14ac:dyDescent="0.25">
      <c r="A38" s="659">
        <f>Amnt_Deposited!B30</f>
        <v>1969</v>
      </c>
      <c r="B38" s="660">
        <f>Amnt_Deposited!J30</f>
        <v>3420</v>
      </c>
      <c r="C38" s="685">
        <f>MCF!R37</f>
        <v>0.6</v>
      </c>
      <c r="D38" s="684">
        <f t="shared" si="5"/>
        <v>0</v>
      </c>
      <c r="E38" s="656">
        <f t="shared" si="0"/>
        <v>0</v>
      </c>
      <c r="F38" s="662">
        <f t="shared" si="1"/>
        <v>0</v>
      </c>
      <c r="G38" s="662">
        <f t="shared" si="2"/>
        <v>0</v>
      </c>
      <c r="H38" s="662">
        <f t="shared" si="3"/>
        <v>0</v>
      </c>
      <c r="I38" s="662">
        <f t="shared" si="4"/>
        <v>0</v>
      </c>
      <c r="J38" s="663">
        <f t="shared" si="6"/>
        <v>0</v>
      </c>
    </row>
    <row r="39" spans="1:10" x14ac:dyDescent="0.25">
      <c r="A39" s="659">
        <f>Amnt_Deposited!B31</f>
        <v>1970</v>
      </c>
      <c r="B39" s="660">
        <f>Amnt_Deposited!J31</f>
        <v>3420</v>
      </c>
      <c r="C39" s="685">
        <f>MCF!R38</f>
        <v>0.8</v>
      </c>
      <c r="D39" s="684">
        <f t="shared" si="5"/>
        <v>0</v>
      </c>
      <c r="E39" s="656">
        <f t="shared" si="0"/>
        <v>0</v>
      </c>
      <c r="F39" s="662">
        <f t="shared" si="1"/>
        <v>0</v>
      </c>
      <c r="G39" s="662">
        <f t="shared" si="2"/>
        <v>0</v>
      </c>
      <c r="H39" s="662">
        <f t="shared" si="3"/>
        <v>0</v>
      </c>
      <c r="I39" s="662">
        <f t="shared" si="4"/>
        <v>0</v>
      </c>
      <c r="J39" s="663">
        <f t="shared" si="6"/>
        <v>0</v>
      </c>
    </row>
    <row r="40" spans="1:10" x14ac:dyDescent="0.25">
      <c r="A40" s="659">
        <f>Amnt_Deposited!B32</f>
        <v>1971</v>
      </c>
      <c r="B40" s="660">
        <f>Amnt_Deposited!J32</f>
        <v>3420</v>
      </c>
      <c r="C40" s="685">
        <f>MCF!R39</f>
        <v>0.8</v>
      </c>
      <c r="D40" s="684">
        <f t="shared" si="5"/>
        <v>0</v>
      </c>
      <c r="E40" s="656">
        <f t="shared" si="0"/>
        <v>0</v>
      </c>
      <c r="F40" s="662">
        <f t="shared" si="1"/>
        <v>0</v>
      </c>
      <c r="G40" s="662">
        <f t="shared" si="2"/>
        <v>0</v>
      </c>
      <c r="H40" s="662">
        <f t="shared" si="3"/>
        <v>0</v>
      </c>
      <c r="I40" s="662">
        <f t="shared" si="4"/>
        <v>0</v>
      </c>
      <c r="J40" s="663">
        <f t="shared" si="6"/>
        <v>0</v>
      </c>
    </row>
    <row r="41" spans="1:10" x14ac:dyDescent="0.25">
      <c r="A41" s="659">
        <f>Amnt_Deposited!B33</f>
        <v>1972</v>
      </c>
      <c r="B41" s="660">
        <f>Amnt_Deposited!J33</f>
        <v>3420</v>
      </c>
      <c r="C41" s="685">
        <f>MCF!R40</f>
        <v>0.8</v>
      </c>
      <c r="D41" s="684">
        <f t="shared" si="5"/>
        <v>0</v>
      </c>
      <c r="E41" s="656">
        <f t="shared" si="0"/>
        <v>0</v>
      </c>
      <c r="F41" s="662">
        <f t="shared" si="1"/>
        <v>0</v>
      </c>
      <c r="G41" s="662">
        <f t="shared" si="2"/>
        <v>0</v>
      </c>
      <c r="H41" s="662">
        <f t="shared" si="3"/>
        <v>0</v>
      </c>
      <c r="I41" s="662">
        <f t="shared" si="4"/>
        <v>0</v>
      </c>
      <c r="J41" s="663">
        <f t="shared" si="6"/>
        <v>0</v>
      </c>
    </row>
    <row r="42" spans="1:10" x14ac:dyDescent="0.25">
      <c r="A42" s="659">
        <f>Amnt_Deposited!B34</f>
        <v>1973</v>
      </c>
      <c r="B42" s="660">
        <f>Amnt_Deposited!J34</f>
        <v>3420</v>
      </c>
      <c r="C42" s="685">
        <f>MCF!R41</f>
        <v>0.8</v>
      </c>
      <c r="D42" s="684">
        <f t="shared" si="5"/>
        <v>0</v>
      </c>
      <c r="E42" s="656">
        <f t="shared" si="0"/>
        <v>0</v>
      </c>
      <c r="F42" s="662">
        <f t="shared" si="1"/>
        <v>0</v>
      </c>
      <c r="G42" s="662">
        <f t="shared" si="2"/>
        <v>0</v>
      </c>
      <c r="H42" s="662">
        <f t="shared" si="3"/>
        <v>0</v>
      </c>
      <c r="I42" s="662">
        <f t="shared" si="4"/>
        <v>0</v>
      </c>
      <c r="J42" s="663">
        <f t="shared" si="6"/>
        <v>0</v>
      </c>
    </row>
    <row r="43" spans="1:10" x14ac:dyDescent="0.25">
      <c r="A43" s="659">
        <f>Amnt_Deposited!B35</f>
        <v>1974</v>
      </c>
      <c r="B43" s="660">
        <f>Amnt_Deposited!J35</f>
        <v>3420</v>
      </c>
      <c r="C43" s="685">
        <f>MCF!R42</f>
        <v>0.8</v>
      </c>
      <c r="D43" s="684">
        <f t="shared" si="5"/>
        <v>0</v>
      </c>
      <c r="E43" s="656">
        <f t="shared" si="0"/>
        <v>0</v>
      </c>
      <c r="F43" s="662">
        <f t="shared" si="1"/>
        <v>0</v>
      </c>
      <c r="G43" s="662">
        <f t="shared" si="2"/>
        <v>0</v>
      </c>
      <c r="H43" s="662">
        <f t="shared" si="3"/>
        <v>0</v>
      </c>
      <c r="I43" s="662">
        <f t="shared" si="4"/>
        <v>0</v>
      </c>
      <c r="J43" s="663">
        <f t="shared" si="6"/>
        <v>0</v>
      </c>
    </row>
    <row r="44" spans="1:10" x14ac:dyDescent="0.25">
      <c r="A44" s="659">
        <f>Amnt_Deposited!B36</f>
        <v>1975</v>
      </c>
      <c r="B44" s="660">
        <f>Amnt_Deposited!J36</f>
        <v>3420</v>
      </c>
      <c r="C44" s="685">
        <f>MCF!R43</f>
        <v>0.8</v>
      </c>
      <c r="D44" s="684">
        <f t="shared" si="5"/>
        <v>0</v>
      </c>
      <c r="E44" s="656">
        <f t="shared" si="0"/>
        <v>0</v>
      </c>
      <c r="F44" s="662">
        <f t="shared" si="1"/>
        <v>0</v>
      </c>
      <c r="G44" s="662">
        <f t="shared" si="2"/>
        <v>0</v>
      </c>
      <c r="H44" s="662">
        <f t="shared" si="3"/>
        <v>0</v>
      </c>
      <c r="I44" s="662">
        <f t="shared" si="4"/>
        <v>0</v>
      </c>
      <c r="J44" s="663">
        <f t="shared" si="6"/>
        <v>0</v>
      </c>
    </row>
    <row r="45" spans="1:10" x14ac:dyDescent="0.25">
      <c r="A45" s="659">
        <f>Amnt_Deposited!B37</f>
        <v>1976</v>
      </c>
      <c r="B45" s="660">
        <f>Amnt_Deposited!J37</f>
        <v>3420</v>
      </c>
      <c r="C45" s="685">
        <f>MCF!R44</f>
        <v>0.8</v>
      </c>
      <c r="D45" s="684">
        <f t="shared" si="5"/>
        <v>0</v>
      </c>
      <c r="E45" s="656">
        <f t="shared" si="0"/>
        <v>0</v>
      </c>
      <c r="F45" s="662">
        <f t="shared" si="1"/>
        <v>0</v>
      </c>
      <c r="G45" s="662">
        <f t="shared" si="2"/>
        <v>0</v>
      </c>
      <c r="H45" s="662">
        <f t="shared" si="3"/>
        <v>0</v>
      </c>
      <c r="I45" s="662">
        <f t="shared" si="4"/>
        <v>0</v>
      </c>
      <c r="J45" s="663">
        <f t="shared" si="6"/>
        <v>0</v>
      </c>
    </row>
    <row r="46" spans="1:10" x14ac:dyDescent="0.25">
      <c r="A46" s="659">
        <f>Amnt_Deposited!B38</f>
        <v>1977</v>
      </c>
      <c r="B46" s="660">
        <f>Amnt_Deposited!J38</f>
        <v>3420</v>
      </c>
      <c r="C46" s="685">
        <f>MCF!R45</f>
        <v>0.8</v>
      </c>
      <c r="D46" s="684">
        <f t="shared" si="5"/>
        <v>0</v>
      </c>
      <c r="E46" s="656">
        <f t="shared" si="0"/>
        <v>0</v>
      </c>
      <c r="F46" s="662">
        <f t="shared" si="1"/>
        <v>0</v>
      </c>
      <c r="G46" s="662">
        <f t="shared" si="2"/>
        <v>0</v>
      </c>
      <c r="H46" s="662">
        <f t="shared" si="3"/>
        <v>0</v>
      </c>
      <c r="I46" s="662">
        <f t="shared" si="4"/>
        <v>0</v>
      </c>
      <c r="J46" s="663">
        <f t="shared" si="6"/>
        <v>0</v>
      </c>
    </row>
    <row r="47" spans="1:10" x14ac:dyDescent="0.25">
      <c r="A47" s="659">
        <f>Amnt_Deposited!B39</f>
        <v>1978</v>
      </c>
      <c r="B47" s="660">
        <f>Amnt_Deposited!J39</f>
        <v>3420</v>
      </c>
      <c r="C47" s="685">
        <f>MCF!R46</f>
        <v>0.8</v>
      </c>
      <c r="D47" s="684">
        <f t="shared" si="5"/>
        <v>0</v>
      </c>
      <c r="E47" s="656">
        <f t="shared" si="0"/>
        <v>0</v>
      </c>
      <c r="F47" s="662">
        <f t="shared" si="1"/>
        <v>0</v>
      </c>
      <c r="G47" s="662">
        <f t="shared" si="2"/>
        <v>0</v>
      </c>
      <c r="H47" s="662">
        <f t="shared" si="3"/>
        <v>0</v>
      </c>
      <c r="I47" s="662">
        <f t="shared" si="4"/>
        <v>0</v>
      </c>
      <c r="J47" s="663">
        <f t="shared" si="6"/>
        <v>0</v>
      </c>
    </row>
    <row r="48" spans="1:10" x14ac:dyDescent="0.25">
      <c r="A48" s="659">
        <f>Amnt_Deposited!B40</f>
        <v>1979</v>
      </c>
      <c r="B48" s="660">
        <f>Amnt_Deposited!J40</f>
        <v>3420</v>
      </c>
      <c r="C48" s="685">
        <f>MCF!R47</f>
        <v>0.8</v>
      </c>
      <c r="D48" s="684">
        <f t="shared" si="5"/>
        <v>0</v>
      </c>
      <c r="E48" s="656">
        <f t="shared" si="0"/>
        <v>0</v>
      </c>
      <c r="F48" s="662">
        <f t="shared" si="1"/>
        <v>0</v>
      </c>
      <c r="G48" s="662">
        <f t="shared" si="2"/>
        <v>0</v>
      </c>
      <c r="H48" s="662">
        <f t="shared" si="3"/>
        <v>0</v>
      </c>
      <c r="I48" s="662">
        <f t="shared" si="4"/>
        <v>0</v>
      </c>
      <c r="J48" s="663">
        <f t="shared" si="6"/>
        <v>0</v>
      </c>
    </row>
    <row r="49" spans="1:10" x14ac:dyDescent="0.25">
      <c r="A49" s="659">
        <f>Amnt_Deposited!B41</f>
        <v>1980</v>
      </c>
      <c r="B49" s="660">
        <f>Amnt_Deposited!J41</f>
        <v>3420</v>
      </c>
      <c r="C49" s="685">
        <f>MCF!R48</f>
        <v>0.9</v>
      </c>
      <c r="D49" s="684">
        <f t="shared" si="5"/>
        <v>0</v>
      </c>
      <c r="E49" s="656">
        <f t="shared" si="0"/>
        <v>0</v>
      </c>
      <c r="F49" s="662">
        <f t="shared" si="1"/>
        <v>0</v>
      </c>
      <c r="G49" s="662">
        <f t="shared" si="2"/>
        <v>0</v>
      </c>
      <c r="H49" s="662">
        <f t="shared" si="3"/>
        <v>0</v>
      </c>
      <c r="I49" s="662">
        <f t="shared" si="4"/>
        <v>0</v>
      </c>
      <c r="J49" s="663">
        <f t="shared" si="6"/>
        <v>0</v>
      </c>
    </row>
    <row r="50" spans="1:10" x14ac:dyDescent="0.25">
      <c r="A50" s="659">
        <f>Amnt_Deposited!B42</f>
        <v>1981</v>
      </c>
      <c r="B50" s="660">
        <f>Amnt_Deposited!J42</f>
        <v>3420</v>
      </c>
      <c r="C50" s="685">
        <f>MCF!R49</f>
        <v>0.9</v>
      </c>
      <c r="D50" s="684">
        <f t="shared" si="5"/>
        <v>0</v>
      </c>
      <c r="E50" s="656">
        <f t="shared" si="0"/>
        <v>0</v>
      </c>
      <c r="F50" s="662">
        <f t="shared" si="1"/>
        <v>0</v>
      </c>
      <c r="G50" s="662">
        <f t="shared" si="2"/>
        <v>0</v>
      </c>
      <c r="H50" s="662">
        <f t="shared" si="3"/>
        <v>0</v>
      </c>
      <c r="I50" s="662">
        <f t="shared" si="4"/>
        <v>0</v>
      </c>
      <c r="J50" s="663">
        <f t="shared" si="6"/>
        <v>0</v>
      </c>
    </row>
    <row r="51" spans="1:10" x14ac:dyDescent="0.25">
      <c r="A51" s="659">
        <f>Amnt_Deposited!B43</f>
        <v>1982</v>
      </c>
      <c r="B51" s="660">
        <f>Amnt_Deposited!J43</f>
        <v>3420</v>
      </c>
      <c r="C51" s="685">
        <f>MCF!R50</f>
        <v>0.9</v>
      </c>
      <c r="D51" s="684">
        <f t="shared" si="5"/>
        <v>0</v>
      </c>
      <c r="E51" s="656">
        <f t="shared" ref="E51:E82" si="7">B51*D51*DOCF*C51</f>
        <v>0</v>
      </c>
      <c r="F51" s="662">
        <f t="shared" si="1"/>
        <v>0</v>
      </c>
      <c r="G51" s="662">
        <f t="shared" si="2"/>
        <v>0</v>
      </c>
      <c r="H51" s="662">
        <f t="shared" si="3"/>
        <v>0</v>
      </c>
      <c r="I51" s="662">
        <f t="shared" si="4"/>
        <v>0</v>
      </c>
      <c r="J51" s="663">
        <f t="shared" si="6"/>
        <v>0</v>
      </c>
    </row>
    <row r="52" spans="1:10" x14ac:dyDescent="0.25">
      <c r="A52" s="659">
        <f>Amnt_Deposited!B44</f>
        <v>1983</v>
      </c>
      <c r="B52" s="660">
        <f>Amnt_Deposited!J44</f>
        <v>3420</v>
      </c>
      <c r="C52" s="685">
        <f>MCF!R51</f>
        <v>0.9</v>
      </c>
      <c r="D52" s="684">
        <f t="shared" si="5"/>
        <v>0</v>
      </c>
      <c r="E52" s="656">
        <f t="shared" si="7"/>
        <v>0</v>
      </c>
      <c r="F52" s="662">
        <f t="shared" si="1"/>
        <v>0</v>
      </c>
      <c r="G52" s="662">
        <f t="shared" si="2"/>
        <v>0</v>
      </c>
      <c r="H52" s="662">
        <f t="shared" si="3"/>
        <v>0</v>
      </c>
      <c r="I52" s="662">
        <f t="shared" si="4"/>
        <v>0</v>
      </c>
      <c r="J52" s="663">
        <f t="shared" si="6"/>
        <v>0</v>
      </c>
    </row>
    <row r="53" spans="1:10" x14ac:dyDescent="0.25">
      <c r="A53" s="659">
        <f>Amnt_Deposited!B45</f>
        <v>1984</v>
      </c>
      <c r="B53" s="660">
        <f>Amnt_Deposited!J45</f>
        <v>3420</v>
      </c>
      <c r="C53" s="685">
        <f>MCF!R52</f>
        <v>0.9</v>
      </c>
      <c r="D53" s="684">
        <f t="shared" si="5"/>
        <v>0</v>
      </c>
      <c r="E53" s="656">
        <f t="shared" si="7"/>
        <v>0</v>
      </c>
      <c r="F53" s="662">
        <f t="shared" si="1"/>
        <v>0</v>
      </c>
      <c r="G53" s="662">
        <f t="shared" si="2"/>
        <v>0</v>
      </c>
      <c r="H53" s="662">
        <f t="shared" si="3"/>
        <v>0</v>
      </c>
      <c r="I53" s="662">
        <f t="shared" si="4"/>
        <v>0</v>
      </c>
      <c r="J53" s="663">
        <f t="shared" si="6"/>
        <v>0</v>
      </c>
    </row>
    <row r="54" spans="1:10" x14ac:dyDescent="0.25">
      <c r="A54" s="659">
        <f>Amnt_Deposited!B46</f>
        <v>1985</v>
      </c>
      <c r="B54" s="660">
        <f>Amnt_Deposited!J46</f>
        <v>3420</v>
      </c>
      <c r="C54" s="685">
        <f>MCF!R53</f>
        <v>0.9</v>
      </c>
      <c r="D54" s="684">
        <f t="shared" si="5"/>
        <v>0</v>
      </c>
      <c r="E54" s="656">
        <f t="shared" si="7"/>
        <v>0</v>
      </c>
      <c r="F54" s="662">
        <f t="shared" si="1"/>
        <v>0</v>
      </c>
      <c r="G54" s="662">
        <f t="shared" si="2"/>
        <v>0</v>
      </c>
      <c r="H54" s="662">
        <f t="shared" si="3"/>
        <v>0</v>
      </c>
      <c r="I54" s="662">
        <f t="shared" si="4"/>
        <v>0</v>
      </c>
      <c r="J54" s="663">
        <f t="shared" si="6"/>
        <v>0</v>
      </c>
    </row>
    <row r="55" spans="1:10" x14ac:dyDescent="0.25">
      <c r="A55" s="659">
        <f>Amnt_Deposited!B47</f>
        <v>1986</v>
      </c>
      <c r="B55" s="660">
        <f>Amnt_Deposited!J47</f>
        <v>3420</v>
      </c>
      <c r="C55" s="685">
        <f>MCF!R54</f>
        <v>0.9</v>
      </c>
      <c r="D55" s="684">
        <f t="shared" si="5"/>
        <v>0</v>
      </c>
      <c r="E55" s="656">
        <f t="shared" si="7"/>
        <v>0</v>
      </c>
      <c r="F55" s="662">
        <f t="shared" si="1"/>
        <v>0</v>
      </c>
      <c r="G55" s="662">
        <f t="shared" si="2"/>
        <v>0</v>
      </c>
      <c r="H55" s="662">
        <f t="shared" si="3"/>
        <v>0</v>
      </c>
      <c r="I55" s="662">
        <f t="shared" si="4"/>
        <v>0</v>
      </c>
      <c r="J55" s="663">
        <f t="shared" si="6"/>
        <v>0</v>
      </c>
    </row>
    <row r="56" spans="1:10" x14ac:dyDescent="0.25">
      <c r="A56" s="659">
        <f>Amnt_Deposited!B48</f>
        <v>1987</v>
      </c>
      <c r="B56" s="660">
        <f>Amnt_Deposited!J48</f>
        <v>3420</v>
      </c>
      <c r="C56" s="685">
        <f>MCF!R55</f>
        <v>0.9</v>
      </c>
      <c r="D56" s="684">
        <f t="shared" si="5"/>
        <v>0</v>
      </c>
      <c r="E56" s="656">
        <f t="shared" si="7"/>
        <v>0</v>
      </c>
      <c r="F56" s="662">
        <f t="shared" si="1"/>
        <v>0</v>
      </c>
      <c r="G56" s="662">
        <f t="shared" si="2"/>
        <v>0</v>
      </c>
      <c r="H56" s="662">
        <f t="shared" si="3"/>
        <v>0</v>
      </c>
      <c r="I56" s="662">
        <f t="shared" si="4"/>
        <v>0</v>
      </c>
      <c r="J56" s="663">
        <f t="shared" si="6"/>
        <v>0</v>
      </c>
    </row>
    <row r="57" spans="1:10" x14ac:dyDescent="0.25">
      <c r="A57" s="659">
        <f>Amnt_Deposited!B49</f>
        <v>1988</v>
      </c>
      <c r="B57" s="660">
        <f>Amnt_Deposited!J49</f>
        <v>3420</v>
      </c>
      <c r="C57" s="685">
        <f>MCF!R56</f>
        <v>0.9</v>
      </c>
      <c r="D57" s="684">
        <f t="shared" si="5"/>
        <v>0</v>
      </c>
      <c r="E57" s="656">
        <f t="shared" si="7"/>
        <v>0</v>
      </c>
      <c r="F57" s="662">
        <f t="shared" si="1"/>
        <v>0</v>
      </c>
      <c r="G57" s="662">
        <f t="shared" si="2"/>
        <v>0</v>
      </c>
      <c r="H57" s="662">
        <f t="shared" si="3"/>
        <v>0</v>
      </c>
      <c r="I57" s="662">
        <f t="shared" si="4"/>
        <v>0</v>
      </c>
      <c r="J57" s="663">
        <f t="shared" si="6"/>
        <v>0</v>
      </c>
    </row>
    <row r="58" spans="1:10" x14ac:dyDescent="0.25">
      <c r="A58" s="659">
        <f>Amnt_Deposited!B50</f>
        <v>1989</v>
      </c>
      <c r="B58" s="660">
        <f>Amnt_Deposited!J50</f>
        <v>3420</v>
      </c>
      <c r="C58" s="685">
        <f>MCF!R57</f>
        <v>0.9</v>
      </c>
      <c r="D58" s="684">
        <f t="shared" si="5"/>
        <v>0</v>
      </c>
      <c r="E58" s="656">
        <f t="shared" si="7"/>
        <v>0</v>
      </c>
      <c r="F58" s="662">
        <f t="shared" si="1"/>
        <v>0</v>
      </c>
      <c r="G58" s="662">
        <f t="shared" si="2"/>
        <v>0</v>
      </c>
      <c r="H58" s="662">
        <f t="shared" si="3"/>
        <v>0</v>
      </c>
      <c r="I58" s="662">
        <f t="shared" si="4"/>
        <v>0</v>
      </c>
      <c r="J58" s="663">
        <f t="shared" si="6"/>
        <v>0</v>
      </c>
    </row>
    <row r="59" spans="1:10" x14ac:dyDescent="0.25">
      <c r="A59" s="659">
        <f>Amnt_Deposited!B51</f>
        <v>1990</v>
      </c>
      <c r="B59" s="660">
        <f>Amnt_Deposited!J51</f>
        <v>3420</v>
      </c>
      <c r="C59" s="685">
        <f>MCF!R58</f>
        <v>1</v>
      </c>
      <c r="D59" s="684">
        <f t="shared" si="5"/>
        <v>0</v>
      </c>
      <c r="E59" s="656">
        <f t="shared" si="7"/>
        <v>0</v>
      </c>
      <c r="F59" s="662">
        <f t="shared" si="1"/>
        <v>0</v>
      </c>
      <c r="G59" s="662">
        <f t="shared" si="2"/>
        <v>0</v>
      </c>
      <c r="H59" s="662">
        <f t="shared" si="3"/>
        <v>0</v>
      </c>
      <c r="I59" s="662">
        <f t="shared" si="4"/>
        <v>0</v>
      </c>
      <c r="J59" s="663">
        <f t="shared" si="6"/>
        <v>0</v>
      </c>
    </row>
    <row r="60" spans="1:10" x14ac:dyDescent="0.25">
      <c r="A60" s="659">
        <f>Amnt_Deposited!B52</f>
        <v>1991</v>
      </c>
      <c r="B60" s="660">
        <f>Amnt_Deposited!J52</f>
        <v>2133.9</v>
      </c>
      <c r="C60" s="685">
        <f>MCF!R59</f>
        <v>1</v>
      </c>
      <c r="D60" s="684">
        <f t="shared" si="5"/>
        <v>0</v>
      </c>
      <c r="E60" s="656">
        <f t="shared" si="7"/>
        <v>0</v>
      </c>
      <c r="F60" s="662">
        <f t="shared" si="1"/>
        <v>0</v>
      </c>
      <c r="G60" s="662">
        <f t="shared" si="2"/>
        <v>0</v>
      </c>
      <c r="H60" s="662">
        <f t="shared" si="3"/>
        <v>0</v>
      </c>
      <c r="I60" s="662">
        <f t="shared" si="4"/>
        <v>0</v>
      </c>
      <c r="J60" s="663">
        <f t="shared" si="6"/>
        <v>0</v>
      </c>
    </row>
    <row r="61" spans="1:10" x14ac:dyDescent="0.25">
      <c r="A61" s="659">
        <f>Amnt_Deposited!B53</f>
        <v>1992</v>
      </c>
      <c r="B61" s="660">
        <f>Amnt_Deposited!J53</f>
        <v>2149.2000000000003</v>
      </c>
      <c r="C61" s="685">
        <f>MCF!R60</f>
        <v>1</v>
      </c>
      <c r="D61" s="684">
        <f t="shared" si="5"/>
        <v>0</v>
      </c>
      <c r="E61" s="656">
        <f t="shared" si="7"/>
        <v>0</v>
      </c>
      <c r="F61" s="662">
        <f t="shared" si="1"/>
        <v>0</v>
      </c>
      <c r="G61" s="662">
        <f t="shared" si="2"/>
        <v>0</v>
      </c>
      <c r="H61" s="662">
        <f t="shared" si="3"/>
        <v>0</v>
      </c>
      <c r="I61" s="662">
        <f t="shared" si="4"/>
        <v>0</v>
      </c>
      <c r="J61" s="663">
        <f t="shared" si="6"/>
        <v>0</v>
      </c>
    </row>
    <row r="62" spans="1:10" x14ac:dyDescent="0.25">
      <c r="A62" s="659">
        <f>Amnt_Deposited!B54</f>
        <v>1993</v>
      </c>
      <c r="B62" s="660">
        <f>Amnt_Deposited!J54</f>
        <v>2235.6</v>
      </c>
      <c r="C62" s="685">
        <f>MCF!R61</f>
        <v>1</v>
      </c>
      <c r="D62" s="684">
        <f t="shared" si="5"/>
        <v>0</v>
      </c>
      <c r="E62" s="656">
        <f t="shared" si="7"/>
        <v>0</v>
      </c>
      <c r="F62" s="662">
        <f t="shared" si="1"/>
        <v>0</v>
      </c>
      <c r="G62" s="662">
        <f t="shared" si="2"/>
        <v>0</v>
      </c>
      <c r="H62" s="662">
        <f t="shared" si="3"/>
        <v>0</v>
      </c>
      <c r="I62" s="662">
        <f t="shared" si="4"/>
        <v>0</v>
      </c>
      <c r="J62" s="663">
        <f t="shared" si="6"/>
        <v>0</v>
      </c>
    </row>
    <row r="63" spans="1:10" x14ac:dyDescent="0.25">
      <c r="A63" s="659">
        <f>Amnt_Deposited!B55</f>
        <v>1994</v>
      </c>
      <c r="B63" s="660">
        <f>Amnt_Deposited!J55</f>
        <v>2288.7000000000003</v>
      </c>
      <c r="C63" s="685">
        <f>MCF!R62</f>
        <v>1</v>
      </c>
      <c r="D63" s="684">
        <f t="shared" si="5"/>
        <v>0</v>
      </c>
      <c r="E63" s="656">
        <f t="shared" si="7"/>
        <v>0</v>
      </c>
      <c r="F63" s="662">
        <f t="shared" si="1"/>
        <v>0</v>
      </c>
      <c r="G63" s="662">
        <f t="shared" si="2"/>
        <v>0</v>
      </c>
      <c r="H63" s="662">
        <f t="shared" si="3"/>
        <v>0</v>
      </c>
      <c r="I63" s="662">
        <f t="shared" si="4"/>
        <v>0</v>
      </c>
      <c r="J63" s="663">
        <f t="shared" si="6"/>
        <v>0</v>
      </c>
    </row>
    <row r="64" spans="1:10" x14ac:dyDescent="0.25">
      <c r="A64" s="659">
        <f>Amnt_Deposited!B56</f>
        <v>1995</v>
      </c>
      <c r="B64" s="660">
        <f>Amnt_Deposited!J56</f>
        <v>2304.9</v>
      </c>
      <c r="C64" s="685">
        <f>MCF!R63</f>
        <v>1</v>
      </c>
      <c r="D64" s="684">
        <f t="shared" si="5"/>
        <v>0</v>
      </c>
      <c r="E64" s="656">
        <f t="shared" si="7"/>
        <v>0</v>
      </c>
      <c r="F64" s="662">
        <f t="shared" si="1"/>
        <v>0</v>
      </c>
      <c r="G64" s="662">
        <f t="shared" si="2"/>
        <v>0</v>
      </c>
      <c r="H64" s="662">
        <f t="shared" si="3"/>
        <v>0</v>
      </c>
      <c r="I64" s="662">
        <f t="shared" si="4"/>
        <v>0</v>
      </c>
      <c r="J64" s="663">
        <f t="shared" si="6"/>
        <v>0</v>
      </c>
    </row>
    <row r="65" spans="1:10" x14ac:dyDescent="0.25">
      <c r="A65" s="659">
        <f>Amnt_Deposited!B57</f>
        <v>1996</v>
      </c>
      <c r="B65" s="660">
        <f>Amnt_Deposited!J57</f>
        <v>2358.9</v>
      </c>
      <c r="C65" s="685">
        <f>MCF!R64</f>
        <v>1</v>
      </c>
      <c r="D65" s="684">
        <f t="shared" si="5"/>
        <v>0</v>
      </c>
      <c r="E65" s="656">
        <f t="shared" si="7"/>
        <v>0</v>
      </c>
      <c r="F65" s="662">
        <f t="shared" si="1"/>
        <v>0</v>
      </c>
      <c r="G65" s="662">
        <f t="shared" si="2"/>
        <v>0</v>
      </c>
      <c r="H65" s="662">
        <f t="shared" si="3"/>
        <v>0</v>
      </c>
      <c r="I65" s="662">
        <f t="shared" si="4"/>
        <v>0</v>
      </c>
      <c r="J65" s="663">
        <f t="shared" si="6"/>
        <v>0</v>
      </c>
    </row>
    <row r="66" spans="1:10" x14ac:dyDescent="0.25">
      <c r="A66" s="659">
        <f>Amnt_Deposited!B58</f>
        <v>1997</v>
      </c>
      <c r="B66" s="660">
        <f>Amnt_Deposited!J58</f>
        <v>2414.7000000000003</v>
      </c>
      <c r="C66" s="685">
        <f>MCF!R65</f>
        <v>1</v>
      </c>
      <c r="D66" s="684">
        <f t="shared" si="5"/>
        <v>0</v>
      </c>
      <c r="E66" s="656">
        <f t="shared" si="7"/>
        <v>0</v>
      </c>
      <c r="F66" s="662">
        <f t="shared" si="1"/>
        <v>0</v>
      </c>
      <c r="G66" s="662">
        <f t="shared" si="2"/>
        <v>0</v>
      </c>
      <c r="H66" s="662">
        <f t="shared" si="3"/>
        <v>0</v>
      </c>
      <c r="I66" s="662">
        <f t="shared" si="4"/>
        <v>0</v>
      </c>
      <c r="J66" s="663">
        <f t="shared" si="6"/>
        <v>0</v>
      </c>
    </row>
    <row r="67" spans="1:10" x14ac:dyDescent="0.25">
      <c r="A67" s="659">
        <f>Amnt_Deposited!B59</f>
        <v>1998</v>
      </c>
      <c r="B67" s="660">
        <f>Amnt_Deposited!J59</f>
        <v>2465.1</v>
      </c>
      <c r="C67" s="685">
        <f>MCF!R66</f>
        <v>1</v>
      </c>
      <c r="D67" s="684">
        <f t="shared" si="5"/>
        <v>0</v>
      </c>
      <c r="E67" s="656">
        <f t="shared" si="7"/>
        <v>0</v>
      </c>
      <c r="F67" s="662">
        <f t="shared" si="1"/>
        <v>0</v>
      </c>
      <c r="G67" s="662">
        <f t="shared" si="2"/>
        <v>0</v>
      </c>
      <c r="H67" s="662">
        <f t="shared" si="3"/>
        <v>0</v>
      </c>
      <c r="I67" s="662">
        <f t="shared" si="4"/>
        <v>0</v>
      </c>
      <c r="J67" s="663">
        <f t="shared" si="6"/>
        <v>0</v>
      </c>
    </row>
    <row r="68" spans="1:10" x14ac:dyDescent="0.25">
      <c r="A68" s="659">
        <f>Amnt_Deposited!B60</f>
        <v>1999</v>
      </c>
      <c r="B68" s="660">
        <f>Amnt_Deposited!J60</f>
        <v>2523.6</v>
      </c>
      <c r="C68" s="685">
        <f>MCF!R67</f>
        <v>1</v>
      </c>
      <c r="D68" s="684">
        <f t="shared" si="5"/>
        <v>0</v>
      </c>
      <c r="E68" s="656">
        <f t="shared" si="7"/>
        <v>0</v>
      </c>
      <c r="F68" s="662">
        <f t="shared" si="1"/>
        <v>0</v>
      </c>
      <c r="G68" s="662">
        <f t="shared" si="2"/>
        <v>0</v>
      </c>
      <c r="H68" s="662">
        <f t="shared" si="3"/>
        <v>0</v>
      </c>
      <c r="I68" s="662">
        <f t="shared" si="4"/>
        <v>0</v>
      </c>
      <c r="J68" s="663">
        <f t="shared" si="6"/>
        <v>0</v>
      </c>
    </row>
    <row r="69" spans="1:10" x14ac:dyDescent="0.25">
      <c r="A69" s="659">
        <f>Amnt_Deposited!B61</f>
        <v>2000</v>
      </c>
      <c r="B69" s="660">
        <f>Amnt_Deposited!J61</f>
        <v>2368.8000000000002</v>
      </c>
      <c r="C69" s="685">
        <f>MCF!R68</f>
        <v>1</v>
      </c>
      <c r="D69" s="684">
        <f t="shared" si="5"/>
        <v>0</v>
      </c>
      <c r="E69" s="656">
        <f t="shared" si="7"/>
        <v>0</v>
      </c>
      <c r="F69" s="662">
        <f t="shared" si="1"/>
        <v>0</v>
      </c>
      <c r="G69" s="662">
        <f t="shared" si="2"/>
        <v>0</v>
      </c>
      <c r="H69" s="662">
        <f t="shared" si="3"/>
        <v>0</v>
      </c>
      <c r="I69" s="662">
        <f t="shared" si="4"/>
        <v>0</v>
      </c>
      <c r="J69" s="663">
        <f t="shared" si="6"/>
        <v>0</v>
      </c>
    </row>
    <row r="70" spans="1:10" x14ac:dyDescent="0.25">
      <c r="A70" s="659">
        <f>Amnt_Deposited!B62</f>
        <v>2001</v>
      </c>
      <c r="B70" s="660">
        <f>Amnt_Deposited!J62</f>
        <v>2522.7000000000003</v>
      </c>
      <c r="C70" s="685">
        <f>MCF!R69</f>
        <v>1</v>
      </c>
      <c r="D70" s="684">
        <f t="shared" si="5"/>
        <v>0</v>
      </c>
      <c r="E70" s="656">
        <f t="shared" si="7"/>
        <v>0</v>
      </c>
      <c r="F70" s="662">
        <f t="shared" si="1"/>
        <v>0</v>
      </c>
      <c r="G70" s="662">
        <f t="shared" si="2"/>
        <v>0</v>
      </c>
      <c r="H70" s="662">
        <f t="shared" si="3"/>
        <v>0</v>
      </c>
      <c r="I70" s="662">
        <f t="shared" si="4"/>
        <v>0</v>
      </c>
      <c r="J70" s="663">
        <f t="shared" si="6"/>
        <v>0</v>
      </c>
    </row>
    <row r="71" spans="1:10" x14ac:dyDescent="0.25">
      <c r="A71" s="659">
        <f>Amnt_Deposited!B63</f>
        <v>2002</v>
      </c>
      <c r="B71" s="660">
        <f>Amnt_Deposited!J63</f>
        <v>2543.4</v>
      </c>
      <c r="C71" s="685">
        <f>MCF!R70</f>
        <v>1</v>
      </c>
      <c r="D71" s="684">
        <f t="shared" si="5"/>
        <v>0</v>
      </c>
      <c r="E71" s="656">
        <f t="shared" si="7"/>
        <v>0</v>
      </c>
      <c r="F71" s="662">
        <f t="shared" si="1"/>
        <v>0</v>
      </c>
      <c r="G71" s="662">
        <f t="shared" si="2"/>
        <v>0</v>
      </c>
      <c r="H71" s="662">
        <f t="shared" si="3"/>
        <v>0</v>
      </c>
      <c r="I71" s="662">
        <f t="shared" si="4"/>
        <v>0</v>
      </c>
      <c r="J71" s="663">
        <f t="shared" si="6"/>
        <v>0</v>
      </c>
    </row>
    <row r="72" spans="1:10" x14ac:dyDescent="0.25">
      <c r="A72" s="659">
        <f>Amnt_Deposited!B64</f>
        <v>2003</v>
      </c>
      <c r="B72" s="660">
        <f>Amnt_Deposited!J64</f>
        <v>2628</v>
      </c>
      <c r="C72" s="685">
        <f>MCF!R71</f>
        <v>1</v>
      </c>
      <c r="D72" s="684">
        <f t="shared" si="5"/>
        <v>0</v>
      </c>
      <c r="E72" s="656">
        <f t="shared" si="7"/>
        <v>0</v>
      </c>
      <c r="F72" s="662">
        <f t="shared" si="1"/>
        <v>0</v>
      </c>
      <c r="G72" s="662">
        <f t="shared" si="2"/>
        <v>0</v>
      </c>
      <c r="H72" s="662">
        <f t="shared" si="3"/>
        <v>0</v>
      </c>
      <c r="I72" s="662">
        <f t="shared" si="4"/>
        <v>0</v>
      </c>
      <c r="J72" s="663">
        <f t="shared" si="6"/>
        <v>0</v>
      </c>
    </row>
    <row r="73" spans="1:10" x14ac:dyDescent="0.25">
      <c r="A73" s="659">
        <f>Amnt_Deposited!B65</f>
        <v>2004</v>
      </c>
      <c r="B73" s="660">
        <f>Amnt_Deposited!J65</f>
        <v>2656.8</v>
      </c>
      <c r="C73" s="685">
        <f>MCF!R72</f>
        <v>1</v>
      </c>
      <c r="D73" s="684">
        <f t="shared" si="5"/>
        <v>0</v>
      </c>
      <c r="E73" s="656">
        <f t="shared" si="7"/>
        <v>0</v>
      </c>
      <c r="F73" s="662">
        <f t="shared" si="1"/>
        <v>0</v>
      </c>
      <c r="G73" s="662">
        <f t="shared" si="2"/>
        <v>0</v>
      </c>
      <c r="H73" s="662">
        <f t="shared" si="3"/>
        <v>0</v>
      </c>
      <c r="I73" s="662">
        <f t="shared" si="4"/>
        <v>0</v>
      </c>
      <c r="J73" s="663">
        <f t="shared" si="6"/>
        <v>0</v>
      </c>
    </row>
    <row r="74" spans="1:10" x14ac:dyDescent="0.25">
      <c r="A74" s="659">
        <f>Amnt_Deposited!B66</f>
        <v>2005</v>
      </c>
      <c r="B74" s="660">
        <f>Amnt_Deposited!J66</f>
        <v>2700</v>
      </c>
      <c r="C74" s="685">
        <f>MCF!R73</f>
        <v>1</v>
      </c>
      <c r="D74" s="684">
        <f t="shared" si="5"/>
        <v>0</v>
      </c>
      <c r="E74" s="656">
        <f t="shared" si="7"/>
        <v>0</v>
      </c>
      <c r="F74" s="662">
        <f t="shared" si="1"/>
        <v>0</v>
      </c>
      <c r="G74" s="662">
        <f t="shared" si="2"/>
        <v>0</v>
      </c>
      <c r="H74" s="662">
        <f t="shared" si="3"/>
        <v>0</v>
      </c>
      <c r="I74" s="662">
        <f t="shared" si="4"/>
        <v>0</v>
      </c>
      <c r="J74" s="663">
        <f t="shared" si="6"/>
        <v>0</v>
      </c>
    </row>
    <row r="75" spans="1:10" x14ac:dyDescent="0.25">
      <c r="A75" s="659">
        <f>Amnt_Deposited!B67</f>
        <v>2006</v>
      </c>
      <c r="B75" s="660">
        <f>Amnt_Deposited!J67</f>
        <v>2763</v>
      </c>
      <c r="C75" s="685">
        <f>MCF!R74</f>
        <v>1</v>
      </c>
      <c r="D75" s="684">
        <f t="shared" si="5"/>
        <v>0</v>
      </c>
      <c r="E75" s="656">
        <f t="shared" si="7"/>
        <v>0</v>
      </c>
      <c r="F75" s="662">
        <f t="shared" si="1"/>
        <v>0</v>
      </c>
      <c r="G75" s="662">
        <f t="shared" si="2"/>
        <v>0</v>
      </c>
      <c r="H75" s="662">
        <f t="shared" si="3"/>
        <v>0</v>
      </c>
      <c r="I75" s="662">
        <f t="shared" si="4"/>
        <v>0</v>
      </c>
      <c r="J75" s="663">
        <f t="shared" si="6"/>
        <v>0</v>
      </c>
    </row>
    <row r="76" spans="1:10" x14ac:dyDescent="0.25">
      <c r="A76" s="659">
        <f>Amnt_Deposited!B68</f>
        <v>2007</v>
      </c>
      <c r="B76" s="660">
        <f>Amnt_Deposited!J68</f>
        <v>2898.9</v>
      </c>
      <c r="C76" s="685">
        <f>MCF!R75</f>
        <v>1</v>
      </c>
      <c r="D76" s="684">
        <f t="shared" si="5"/>
        <v>0</v>
      </c>
      <c r="E76" s="656">
        <f t="shared" si="7"/>
        <v>0</v>
      </c>
      <c r="F76" s="662">
        <f t="shared" si="1"/>
        <v>0</v>
      </c>
      <c r="G76" s="662">
        <f t="shared" si="2"/>
        <v>0</v>
      </c>
      <c r="H76" s="662">
        <f t="shared" si="3"/>
        <v>0</v>
      </c>
      <c r="I76" s="662">
        <f t="shared" si="4"/>
        <v>0</v>
      </c>
      <c r="J76" s="663">
        <f t="shared" si="6"/>
        <v>0</v>
      </c>
    </row>
    <row r="77" spans="1:10" x14ac:dyDescent="0.25">
      <c r="A77" s="659">
        <f>Amnt_Deposited!B69</f>
        <v>2008</v>
      </c>
      <c r="B77" s="660">
        <f>Amnt_Deposited!J69</f>
        <v>2982.6</v>
      </c>
      <c r="C77" s="685">
        <f>MCF!R76</f>
        <v>1</v>
      </c>
      <c r="D77" s="684">
        <f t="shared" si="5"/>
        <v>0</v>
      </c>
      <c r="E77" s="656">
        <f t="shared" si="7"/>
        <v>0</v>
      </c>
      <c r="F77" s="662">
        <f t="shared" si="1"/>
        <v>0</v>
      </c>
      <c r="G77" s="662">
        <f t="shared" si="2"/>
        <v>0</v>
      </c>
      <c r="H77" s="662">
        <f t="shared" si="3"/>
        <v>0</v>
      </c>
      <c r="I77" s="662">
        <f t="shared" si="4"/>
        <v>0</v>
      </c>
      <c r="J77" s="663">
        <f t="shared" si="6"/>
        <v>0</v>
      </c>
    </row>
    <row r="78" spans="1:10" x14ac:dyDescent="0.25">
      <c r="A78" s="659">
        <f>Amnt_Deposited!B70</f>
        <v>2009</v>
      </c>
      <c r="B78" s="660">
        <f>Amnt_Deposited!J70</f>
        <v>3081.6</v>
      </c>
      <c r="C78" s="685">
        <f>MCF!R77</f>
        <v>1</v>
      </c>
      <c r="D78" s="684">
        <f t="shared" si="5"/>
        <v>0</v>
      </c>
      <c r="E78" s="656">
        <f t="shared" si="7"/>
        <v>0</v>
      </c>
      <c r="F78" s="662">
        <f t="shared" si="1"/>
        <v>0</v>
      </c>
      <c r="G78" s="662">
        <f t="shared" si="2"/>
        <v>0</v>
      </c>
      <c r="H78" s="662">
        <f t="shared" si="3"/>
        <v>0</v>
      </c>
      <c r="I78" s="662">
        <f t="shared" si="4"/>
        <v>0</v>
      </c>
      <c r="J78" s="663">
        <f t="shared" si="6"/>
        <v>0</v>
      </c>
    </row>
    <row r="79" spans="1:10" x14ac:dyDescent="0.25">
      <c r="A79" s="659">
        <f>Amnt_Deposited!B71</f>
        <v>2010</v>
      </c>
      <c r="B79" s="660">
        <f>Amnt_Deposited!J71</f>
        <v>3065.4</v>
      </c>
      <c r="C79" s="685">
        <f>MCF!R78</f>
        <v>1</v>
      </c>
      <c r="D79" s="684">
        <f t="shared" si="5"/>
        <v>0</v>
      </c>
      <c r="E79" s="656">
        <f t="shared" si="7"/>
        <v>0</v>
      </c>
      <c r="F79" s="662">
        <f t="shared" si="1"/>
        <v>0</v>
      </c>
      <c r="G79" s="662">
        <f t="shared" si="2"/>
        <v>0</v>
      </c>
      <c r="H79" s="662">
        <f t="shared" si="3"/>
        <v>0</v>
      </c>
      <c r="I79" s="662">
        <f t="shared" si="4"/>
        <v>0</v>
      </c>
      <c r="J79" s="663">
        <f t="shared" si="6"/>
        <v>0</v>
      </c>
    </row>
    <row r="80" spans="1:10" x14ac:dyDescent="0.25">
      <c r="A80" s="659">
        <f>Amnt_Deposited!B72</f>
        <v>2011</v>
      </c>
      <c r="B80" s="660">
        <f>Amnt_Deposited!J72</f>
        <v>2866.5</v>
      </c>
      <c r="C80" s="685">
        <f>MCF!R79</f>
        <v>1</v>
      </c>
      <c r="D80" s="684">
        <f t="shared" si="5"/>
        <v>0</v>
      </c>
      <c r="E80" s="656">
        <f t="shared" si="7"/>
        <v>0</v>
      </c>
      <c r="F80" s="662">
        <f t="shared" si="1"/>
        <v>0</v>
      </c>
      <c r="G80" s="662">
        <f t="shared" si="2"/>
        <v>0</v>
      </c>
      <c r="H80" s="662">
        <f t="shared" si="3"/>
        <v>0</v>
      </c>
      <c r="I80" s="662">
        <f t="shared" si="4"/>
        <v>0</v>
      </c>
      <c r="J80" s="663">
        <f t="shared" si="6"/>
        <v>0</v>
      </c>
    </row>
    <row r="81" spans="1:10" x14ac:dyDescent="0.25">
      <c r="A81" s="659">
        <f>Amnt_Deposited!B73</f>
        <v>2012</v>
      </c>
      <c r="B81" s="660">
        <f>Amnt_Deposited!J73</f>
        <v>2682.9</v>
      </c>
      <c r="C81" s="685">
        <f>MCF!R80</f>
        <v>1</v>
      </c>
      <c r="D81" s="684">
        <f t="shared" si="5"/>
        <v>0</v>
      </c>
      <c r="E81" s="656">
        <f t="shared" si="7"/>
        <v>0</v>
      </c>
      <c r="F81" s="662">
        <f t="shared" si="1"/>
        <v>0</v>
      </c>
      <c r="G81" s="662">
        <f t="shared" si="2"/>
        <v>0</v>
      </c>
      <c r="H81" s="662">
        <f t="shared" si="3"/>
        <v>0</v>
      </c>
      <c r="I81" s="662">
        <f t="shared" si="4"/>
        <v>0</v>
      </c>
      <c r="J81" s="663">
        <f t="shared" si="6"/>
        <v>0</v>
      </c>
    </row>
    <row r="82" spans="1:10" x14ac:dyDescent="0.25">
      <c r="A82" s="659">
        <f>Amnt_Deposited!B74</f>
        <v>2013</v>
      </c>
      <c r="B82" s="660">
        <f>Amnt_Deposited!J74</f>
        <v>2507.4</v>
      </c>
      <c r="C82" s="685">
        <f>MCF!R81</f>
        <v>1</v>
      </c>
      <c r="D82" s="684">
        <f t="shared" si="5"/>
        <v>0</v>
      </c>
      <c r="E82" s="656">
        <f t="shared" si="7"/>
        <v>0</v>
      </c>
      <c r="F82" s="662">
        <f t="shared" si="1"/>
        <v>0</v>
      </c>
      <c r="G82" s="662">
        <f t="shared" si="2"/>
        <v>0</v>
      </c>
      <c r="H82" s="662">
        <f t="shared" si="3"/>
        <v>0</v>
      </c>
      <c r="I82" s="662">
        <f t="shared" si="4"/>
        <v>0</v>
      </c>
      <c r="J82" s="663">
        <f t="shared" si="6"/>
        <v>0</v>
      </c>
    </row>
    <row r="83" spans="1:10" x14ac:dyDescent="0.25">
      <c r="A83" s="659">
        <f>Amnt_Deposited!B75</f>
        <v>2014</v>
      </c>
      <c r="B83" s="660">
        <f>Amnt_Deposited!J75</f>
        <v>2422.8000000000002</v>
      </c>
      <c r="C83" s="685">
        <f>MCF!R82</f>
        <v>1</v>
      </c>
      <c r="D83" s="684">
        <f t="shared" si="5"/>
        <v>0</v>
      </c>
      <c r="E83" s="656">
        <f t="shared" ref="E83:E109" si="8">B83*D83*DOCF*C83</f>
        <v>0</v>
      </c>
      <c r="F83" s="662">
        <f t="shared" ref="F83:F109" si="9">E83*$H$12</f>
        <v>0</v>
      </c>
      <c r="G83" s="662">
        <f t="shared" ref="G83:G109" si="10">E83*(1-$H$12)</f>
        <v>0</v>
      </c>
      <c r="H83" s="662">
        <f t="shared" ref="H83:H109" si="11">F83+H82*$H$10</f>
        <v>0</v>
      </c>
      <c r="I83" s="662">
        <f t="shared" ref="I83:I109" si="12">H82*(1-$H$10)+G83</f>
        <v>0</v>
      </c>
      <c r="J83" s="663">
        <f t="shared" si="6"/>
        <v>0</v>
      </c>
    </row>
    <row r="84" spans="1:10" x14ac:dyDescent="0.25">
      <c r="A84" s="659">
        <f>Amnt_Deposited!B76</f>
        <v>2015</v>
      </c>
      <c r="B84" s="660">
        <f>Amnt_Deposited!J76</f>
        <v>2313</v>
      </c>
      <c r="C84" s="685">
        <f>MCF!R83</f>
        <v>1</v>
      </c>
      <c r="D84" s="684">
        <f t="shared" ref="D84:D109" si="13">$H$6</f>
        <v>0</v>
      </c>
      <c r="E84" s="656">
        <f t="shared" si="8"/>
        <v>0</v>
      </c>
      <c r="F84" s="662">
        <f t="shared" si="9"/>
        <v>0</v>
      </c>
      <c r="G84" s="662">
        <f t="shared" si="10"/>
        <v>0</v>
      </c>
      <c r="H84" s="662">
        <f t="shared" si="11"/>
        <v>0</v>
      </c>
      <c r="I84" s="662">
        <f t="shared" si="12"/>
        <v>0</v>
      </c>
      <c r="J84" s="663">
        <f t="shared" si="6"/>
        <v>0</v>
      </c>
    </row>
    <row r="85" spans="1:10" x14ac:dyDescent="0.25">
      <c r="A85" s="659">
        <f>Amnt_Deposited!B77</f>
        <v>2016</v>
      </c>
      <c r="B85" s="660">
        <f>Amnt_Deposited!J77</f>
        <v>2249.1</v>
      </c>
      <c r="C85" s="685">
        <f>MCF!R84</f>
        <v>1</v>
      </c>
      <c r="D85" s="684">
        <f t="shared" si="13"/>
        <v>0</v>
      </c>
      <c r="E85" s="656">
        <f t="shared" si="8"/>
        <v>0</v>
      </c>
      <c r="F85" s="662">
        <f t="shared" si="9"/>
        <v>0</v>
      </c>
      <c r="G85" s="662">
        <f t="shared" si="10"/>
        <v>0</v>
      </c>
      <c r="H85" s="662">
        <f t="shared" si="11"/>
        <v>0</v>
      </c>
      <c r="I85" s="662">
        <f t="shared" si="12"/>
        <v>0</v>
      </c>
      <c r="J85" s="663">
        <f t="shared" ref="J85:J109" si="14">I85*CH4_fraction*conv</f>
        <v>0</v>
      </c>
    </row>
    <row r="86" spans="1:10" x14ac:dyDescent="0.25">
      <c r="A86" s="659">
        <f>Amnt_Deposited!B78</f>
        <v>2017</v>
      </c>
      <c r="B86" s="660">
        <f>Amnt_Deposited!J78</f>
        <v>2249.1</v>
      </c>
      <c r="C86" s="685">
        <f>MCF!R85</f>
        <v>1</v>
      </c>
      <c r="D86" s="684">
        <f t="shared" si="13"/>
        <v>0</v>
      </c>
      <c r="E86" s="656">
        <f t="shared" ref="E86:E109" si="15">B86*D86*DOCF*C86</f>
        <v>0</v>
      </c>
      <c r="F86" s="662">
        <f t="shared" ref="F86:F109" si="16">E86*$H$12</f>
        <v>0</v>
      </c>
      <c r="G86" s="662">
        <f t="shared" ref="G86:G109" si="17">E86*(1-$H$12)</f>
        <v>0</v>
      </c>
      <c r="H86" s="662">
        <f t="shared" ref="H86:H109" si="18">F86+H85*$H$10</f>
        <v>0</v>
      </c>
      <c r="I86" s="662">
        <f t="shared" ref="I86:I109" si="19">H85*(1-$H$10)+G86</f>
        <v>0</v>
      </c>
      <c r="J86" s="663">
        <f t="shared" ref="J86:J109" si="20">I86*CH4_fraction*conv</f>
        <v>0</v>
      </c>
    </row>
    <row r="87" spans="1:10" x14ac:dyDescent="0.25">
      <c r="A87" s="659">
        <f>Amnt_Deposited!B79</f>
        <v>2018</v>
      </c>
      <c r="B87" s="660">
        <f>Amnt_Deposited!J79</f>
        <v>2249.1</v>
      </c>
      <c r="C87" s="685">
        <f>MCF!R86</f>
        <v>1</v>
      </c>
      <c r="D87" s="684">
        <f t="shared" si="13"/>
        <v>0</v>
      </c>
      <c r="E87" s="656">
        <f t="shared" si="15"/>
        <v>0</v>
      </c>
      <c r="F87" s="662">
        <f t="shared" si="16"/>
        <v>0</v>
      </c>
      <c r="G87" s="662">
        <f t="shared" si="17"/>
        <v>0</v>
      </c>
      <c r="H87" s="662">
        <f t="shared" si="18"/>
        <v>0</v>
      </c>
      <c r="I87" s="662">
        <f t="shared" si="19"/>
        <v>0</v>
      </c>
      <c r="J87" s="663">
        <f t="shared" si="20"/>
        <v>0</v>
      </c>
    </row>
    <row r="88" spans="1:10" x14ac:dyDescent="0.25">
      <c r="A88" s="659">
        <f>Amnt_Deposited!B80</f>
        <v>2019</v>
      </c>
      <c r="B88" s="660">
        <f>Amnt_Deposited!J80</f>
        <v>2249.1</v>
      </c>
      <c r="C88" s="685">
        <f>MCF!R87</f>
        <v>1</v>
      </c>
      <c r="D88" s="684">
        <f t="shared" si="13"/>
        <v>0</v>
      </c>
      <c r="E88" s="656">
        <f t="shared" si="15"/>
        <v>0</v>
      </c>
      <c r="F88" s="662">
        <f t="shared" si="16"/>
        <v>0</v>
      </c>
      <c r="G88" s="662">
        <f t="shared" si="17"/>
        <v>0</v>
      </c>
      <c r="H88" s="662">
        <f t="shared" si="18"/>
        <v>0</v>
      </c>
      <c r="I88" s="662">
        <f t="shared" si="19"/>
        <v>0</v>
      </c>
      <c r="J88" s="663">
        <f t="shared" si="20"/>
        <v>0</v>
      </c>
    </row>
    <row r="89" spans="1:10" x14ac:dyDescent="0.25">
      <c r="A89" s="659">
        <f>Amnt_Deposited!B81</f>
        <v>2020</v>
      </c>
      <c r="B89" s="660">
        <f>Amnt_Deposited!J81</f>
        <v>2249.1</v>
      </c>
      <c r="C89" s="685">
        <f>MCF!R88</f>
        <v>1</v>
      </c>
      <c r="D89" s="684">
        <f t="shared" si="13"/>
        <v>0</v>
      </c>
      <c r="E89" s="656">
        <f t="shared" si="15"/>
        <v>0</v>
      </c>
      <c r="F89" s="662">
        <f t="shared" si="16"/>
        <v>0</v>
      </c>
      <c r="G89" s="662">
        <f t="shared" si="17"/>
        <v>0</v>
      </c>
      <c r="H89" s="662">
        <f t="shared" si="18"/>
        <v>0</v>
      </c>
      <c r="I89" s="662">
        <f t="shared" si="19"/>
        <v>0</v>
      </c>
      <c r="J89" s="663">
        <f t="shared" si="20"/>
        <v>0</v>
      </c>
    </row>
    <row r="90" spans="1:10" x14ac:dyDescent="0.25">
      <c r="A90" s="659">
        <f>Amnt_Deposited!B82</f>
        <v>2021</v>
      </c>
      <c r="B90" s="660">
        <f>Amnt_Deposited!J82</f>
        <v>2249.1</v>
      </c>
      <c r="C90" s="685">
        <f>MCF!R89</f>
        <v>1</v>
      </c>
      <c r="D90" s="684">
        <f t="shared" si="13"/>
        <v>0</v>
      </c>
      <c r="E90" s="656">
        <f t="shared" si="15"/>
        <v>0</v>
      </c>
      <c r="F90" s="662">
        <f t="shared" si="16"/>
        <v>0</v>
      </c>
      <c r="G90" s="662">
        <f t="shared" si="17"/>
        <v>0</v>
      </c>
      <c r="H90" s="662">
        <f t="shared" si="18"/>
        <v>0</v>
      </c>
      <c r="I90" s="662">
        <f t="shared" si="19"/>
        <v>0</v>
      </c>
      <c r="J90" s="663">
        <f t="shared" si="20"/>
        <v>0</v>
      </c>
    </row>
    <row r="91" spans="1:10" x14ac:dyDescent="0.25">
      <c r="A91" s="659">
        <f>Amnt_Deposited!B83</f>
        <v>2022</v>
      </c>
      <c r="B91" s="660">
        <f>Amnt_Deposited!J83</f>
        <v>2249.1</v>
      </c>
      <c r="C91" s="685">
        <f>MCF!R90</f>
        <v>1</v>
      </c>
      <c r="D91" s="684">
        <f t="shared" si="13"/>
        <v>0</v>
      </c>
      <c r="E91" s="656">
        <f t="shared" si="15"/>
        <v>0</v>
      </c>
      <c r="F91" s="662">
        <f t="shared" si="16"/>
        <v>0</v>
      </c>
      <c r="G91" s="662">
        <f t="shared" si="17"/>
        <v>0</v>
      </c>
      <c r="H91" s="662">
        <f t="shared" si="18"/>
        <v>0</v>
      </c>
      <c r="I91" s="662">
        <f t="shared" si="19"/>
        <v>0</v>
      </c>
      <c r="J91" s="663">
        <f t="shared" si="20"/>
        <v>0</v>
      </c>
    </row>
    <row r="92" spans="1:10" x14ac:dyDescent="0.25">
      <c r="A92" s="659">
        <f>Amnt_Deposited!B84</f>
        <v>2023</v>
      </c>
      <c r="B92" s="660">
        <f>Amnt_Deposited!J84</f>
        <v>2249.1</v>
      </c>
      <c r="C92" s="685">
        <f>MCF!R91</f>
        <v>1</v>
      </c>
      <c r="D92" s="684">
        <f t="shared" si="13"/>
        <v>0</v>
      </c>
      <c r="E92" s="656">
        <f t="shared" si="15"/>
        <v>0</v>
      </c>
      <c r="F92" s="662">
        <f t="shared" si="16"/>
        <v>0</v>
      </c>
      <c r="G92" s="662">
        <f t="shared" si="17"/>
        <v>0</v>
      </c>
      <c r="H92" s="662">
        <f t="shared" si="18"/>
        <v>0</v>
      </c>
      <c r="I92" s="662">
        <f t="shared" si="19"/>
        <v>0</v>
      </c>
      <c r="J92" s="663">
        <f t="shared" si="20"/>
        <v>0</v>
      </c>
    </row>
    <row r="93" spans="1:10" x14ac:dyDescent="0.25">
      <c r="A93" s="659">
        <f>Amnt_Deposited!B85</f>
        <v>2024</v>
      </c>
      <c r="B93" s="660">
        <f>Amnt_Deposited!J85</f>
        <v>2249.1</v>
      </c>
      <c r="C93" s="685">
        <f>MCF!R92</f>
        <v>1</v>
      </c>
      <c r="D93" s="684">
        <f t="shared" si="13"/>
        <v>0</v>
      </c>
      <c r="E93" s="656">
        <f t="shared" si="15"/>
        <v>0</v>
      </c>
      <c r="F93" s="662">
        <f t="shared" si="16"/>
        <v>0</v>
      </c>
      <c r="G93" s="662">
        <f t="shared" si="17"/>
        <v>0</v>
      </c>
      <c r="H93" s="662">
        <f t="shared" si="18"/>
        <v>0</v>
      </c>
      <c r="I93" s="662">
        <f t="shared" si="19"/>
        <v>0</v>
      </c>
      <c r="J93" s="663">
        <f t="shared" si="20"/>
        <v>0</v>
      </c>
    </row>
    <row r="94" spans="1:10" x14ac:dyDescent="0.25">
      <c r="A94" s="659">
        <f>Amnt_Deposited!B86</f>
        <v>2025</v>
      </c>
      <c r="B94" s="660">
        <f>Amnt_Deposited!J86</f>
        <v>2249.1</v>
      </c>
      <c r="C94" s="685">
        <f>MCF!R93</f>
        <v>1</v>
      </c>
      <c r="D94" s="684">
        <f t="shared" si="13"/>
        <v>0</v>
      </c>
      <c r="E94" s="656">
        <f t="shared" si="15"/>
        <v>0</v>
      </c>
      <c r="F94" s="662">
        <f t="shared" si="16"/>
        <v>0</v>
      </c>
      <c r="G94" s="662">
        <f t="shared" si="17"/>
        <v>0</v>
      </c>
      <c r="H94" s="662">
        <f t="shared" si="18"/>
        <v>0</v>
      </c>
      <c r="I94" s="662">
        <f t="shared" si="19"/>
        <v>0</v>
      </c>
      <c r="J94" s="663">
        <f t="shared" si="20"/>
        <v>0</v>
      </c>
    </row>
    <row r="95" spans="1:10" x14ac:dyDescent="0.25">
      <c r="A95" s="659">
        <f>Amnt_Deposited!B87</f>
        <v>2026</v>
      </c>
      <c r="B95" s="660">
        <f>Amnt_Deposited!J87</f>
        <v>2249.1</v>
      </c>
      <c r="C95" s="685">
        <f>MCF!R94</f>
        <v>1</v>
      </c>
      <c r="D95" s="684">
        <f t="shared" si="13"/>
        <v>0</v>
      </c>
      <c r="E95" s="656">
        <f t="shared" si="15"/>
        <v>0</v>
      </c>
      <c r="F95" s="662">
        <f t="shared" si="16"/>
        <v>0</v>
      </c>
      <c r="G95" s="662">
        <f t="shared" si="17"/>
        <v>0</v>
      </c>
      <c r="H95" s="662">
        <f t="shared" si="18"/>
        <v>0</v>
      </c>
      <c r="I95" s="662">
        <f t="shared" si="19"/>
        <v>0</v>
      </c>
      <c r="J95" s="663">
        <f t="shared" si="20"/>
        <v>0</v>
      </c>
    </row>
    <row r="96" spans="1:10" x14ac:dyDescent="0.25">
      <c r="A96" s="659">
        <f>Amnt_Deposited!B88</f>
        <v>2027</v>
      </c>
      <c r="B96" s="660">
        <f>Amnt_Deposited!J88</f>
        <v>2249.1</v>
      </c>
      <c r="C96" s="685">
        <f>MCF!R95</f>
        <v>1</v>
      </c>
      <c r="D96" s="684">
        <f t="shared" si="13"/>
        <v>0</v>
      </c>
      <c r="E96" s="656">
        <f t="shared" si="15"/>
        <v>0</v>
      </c>
      <c r="F96" s="662">
        <f t="shared" si="16"/>
        <v>0</v>
      </c>
      <c r="G96" s="662">
        <f t="shared" si="17"/>
        <v>0</v>
      </c>
      <c r="H96" s="662">
        <f t="shared" si="18"/>
        <v>0</v>
      </c>
      <c r="I96" s="662">
        <f t="shared" si="19"/>
        <v>0</v>
      </c>
      <c r="J96" s="663">
        <f t="shared" si="20"/>
        <v>0</v>
      </c>
    </row>
    <row r="97" spans="1:10" x14ac:dyDescent="0.25">
      <c r="A97" s="659">
        <f>Amnt_Deposited!B99</f>
        <v>2038</v>
      </c>
      <c r="B97" s="660">
        <f>Amnt_Deposited!J89</f>
        <v>2249.1</v>
      </c>
      <c r="C97" s="685">
        <f>MCF!R96</f>
        <v>1</v>
      </c>
      <c r="D97" s="684">
        <f t="shared" si="13"/>
        <v>0</v>
      </c>
      <c r="E97" s="656">
        <f t="shared" si="15"/>
        <v>0</v>
      </c>
      <c r="F97" s="662">
        <f t="shared" si="16"/>
        <v>0</v>
      </c>
      <c r="G97" s="662">
        <f t="shared" si="17"/>
        <v>0</v>
      </c>
      <c r="H97" s="662">
        <f t="shared" si="18"/>
        <v>0</v>
      </c>
      <c r="I97" s="662">
        <f t="shared" si="19"/>
        <v>0</v>
      </c>
      <c r="J97" s="663">
        <f t="shared" si="20"/>
        <v>0</v>
      </c>
    </row>
    <row r="98" spans="1:10" x14ac:dyDescent="0.25">
      <c r="A98" s="659"/>
      <c r="B98" s="660">
        <f>Amnt_Deposited!J90</f>
        <v>2249.1</v>
      </c>
      <c r="C98" s="685">
        <f>MCF!R97</f>
        <v>1</v>
      </c>
      <c r="D98" s="684">
        <f t="shared" si="13"/>
        <v>0</v>
      </c>
      <c r="E98" s="656">
        <f t="shared" si="15"/>
        <v>0</v>
      </c>
      <c r="F98" s="662">
        <f t="shared" si="16"/>
        <v>0</v>
      </c>
      <c r="G98" s="662">
        <f t="shared" si="17"/>
        <v>0</v>
      </c>
      <c r="H98" s="662">
        <f t="shared" si="18"/>
        <v>0</v>
      </c>
      <c r="I98" s="662">
        <f t="shared" si="19"/>
        <v>0</v>
      </c>
      <c r="J98" s="663">
        <f t="shared" si="20"/>
        <v>0</v>
      </c>
    </row>
    <row r="99" spans="1:10" x14ac:dyDescent="0.25">
      <c r="A99" s="659"/>
      <c r="B99" s="660">
        <f>Amnt_Deposited!J91</f>
        <v>2249.1</v>
      </c>
      <c r="C99" s="685">
        <f>MCF!R98</f>
        <v>1</v>
      </c>
      <c r="D99" s="684">
        <f t="shared" si="13"/>
        <v>0</v>
      </c>
      <c r="E99" s="656">
        <f t="shared" si="15"/>
        <v>0</v>
      </c>
      <c r="F99" s="662">
        <f t="shared" si="16"/>
        <v>0</v>
      </c>
      <c r="G99" s="662">
        <f t="shared" si="17"/>
        <v>0</v>
      </c>
      <c r="H99" s="662">
        <f t="shared" si="18"/>
        <v>0</v>
      </c>
      <c r="I99" s="662">
        <f t="shared" si="19"/>
        <v>0</v>
      </c>
      <c r="J99" s="663">
        <f t="shared" si="20"/>
        <v>0</v>
      </c>
    </row>
    <row r="100" spans="1:10" x14ac:dyDescent="0.25">
      <c r="A100" s="659"/>
      <c r="B100" s="660">
        <f>Amnt_Deposited!J92</f>
        <v>2249.1</v>
      </c>
      <c r="C100" s="685">
        <f>MCF!R99</f>
        <v>1</v>
      </c>
      <c r="D100" s="684">
        <f t="shared" si="13"/>
        <v>0</v>
      </c>
      <c r="E100" s="656">
        <f t="shared" si="15"/>
        <v>0</v>
      </c>
      <c r="F100" s="662">
        <f t="shared" si="16"/>
        <v>0</v>
      </c>
      <c r="G100" s="662">
        <f t="shared" si="17"/>
        <v>0</v>
      </c>
      <c r="H100" s="662">
        <f t="shared" si="18"/>
        <v>0</v>
      </c>
      <c r="I100" s="662">
        <f t="shared" si="19"/>
        <v>0</v>
      </c>
      <c r="J100" s="663">
        <f t="shared" si="20"/>
        <v>0</v>
      </c>
    </row>
    <row r="101" spans="1:10" x14ac:dyDescent="0.25">
      <c r="A101" s="659"/>
      <c r="B101" s="660">
        <f>Amnt_Deposited!J93</f>
        <v>2249.1</v>
      </c>
      <c r="C101" s="685">
        <f>MCF!R100</f>
        <v>1</v>
      </c>
      <c r="D101" s="684">
        <f t="shared" si="13"/>
        <v>0</v>
      </c>
      <c r="E101" s="656">
        <f t="shared" si="15"/>
        <v>0</v>
      </c>
      <c r="F101" s="662">
        <f t="shared" si="16"/>
        <v>0</v>
      </c>
      <c r="G101" s="662">
        <f t="shared" si="17"/>
        <v>0</v>
      </c>
      <c r="H101" s="662">
        <f t="shared" si="18"/>
        <v>0</v>
      </c>
      <c r="I101" s="662">
        <f t="shared" si="19"/>
        <v>0</v>
      </c>
      <c r="J101" s="663">
        <f t="shared" si="20"/>
        <v>0</v>
      </c>
    </row>
    <row r="102" spans="1:10" x14ac:dyDescent="0.25">
      <c r="A102" s="659"/>
      <c r="B102" s="660">
        <f>Amnt_Deposited!J94</f>
        <v>2249.1</v>
      </c>
      <c r="C102" s="685">
        <f>MCF!R101</f>
        <v>1</v>
      </c>
      <c r="D102" s="684">
        <f t="shared" si="13"/>
        <v>0</v>
      </c>
      <c r="E102" s="656">
        <f t="shared" si="15"/>
        <v>0</v>
      </c>
      <c r="F102" s="662">
        <f t="shared" si="16"/>
        <v>0</v>
      </c>
      <c r="G102" s="662">
        <f t="shared" si="17"/>
        <v>0</v>
      </c>
      <c r="H102" s="662">
        <f t="shared" si="18"/>
        <v>0</v>
      </c>
      <c r="I102" s="662">
        <f t="shared" si="19"/>
        <v>0</v>
      </c>
      <c r="J102" s="663">
        <f t="shared" si="20"/>
        <v>0</v>
      </c>
    </row>
    <row r="103" spans="1:10" x14ac:dyDescent="0.25">
      <c r="A103" s="659"/>
      <c r="B103" s="660">
        <f>Amnt_Deposited!J95</f>
        <v>2249.1</v>
      </c>
      <c r="C103" s="685">
        <f>MCF!R102</f>
        <v>1</v>
      </c>
      <c r="D103" s="684">
        <f t="shared" si="13"/>
        <v>0</v>
      </c>
      <c r="E103" s="656">
        <f t="shared" si="15"/>
        <v>0</v>
      </c>
      <c r="F103" s="662">
        <f t="shared" si="16"/>
        <v>0</v>
      </c>
      <c r="G103" s="662">
        <f t="shared" si="17"/>
        <v>0</v>
      </c>
      <c r="H103" s="662">
        <f t="shared" si="18"/>
        <v>0</v>
      </c>
      <c r="I103" s="662">
        <f t="shared" si="19"/>
        <v>0</v>
      </c>
      <c r="J103" s="663">
        <f t="shared" si="20"/>
        <v>0</v>
      </c>
    </row>
    <row r="104" spans="1:10" x14ac:dyDescent="0.25">
      <c r="A104" s="659"/>
      <c r="B104" s="660">
        <f>Amnt_Deposited!J96</f>
        <v>2249.1</v>
      </c>
      <c r="C104" s="685">
        <f>MCF!R103</f>
        <v>1</v>
      </c>
      <c r="D104" s="684">
        <f t="shared" si="13"/>
        <v>0</v>
      </c>
      <c r="E104" s="656">
        <f t="shared" si="15"/>
        <v>0</v>
      </c>
      <c r="F104" s="662">
        <f t="shared" si="16"/>
        <v>0</v>
      </c>
      <c r="G104" s="662">
        <f t="shared" si="17"/>
        <v>0</v>
      </c>
      <c r="H104" s="662">
        <f t="shared" si="18"/>
        <v>0</v>
      </c>
      <c r="I104" s="662">
        <f t="shared" si="19"/>
        <v>0</v>
      </c>
      <c r="J104" s="663">
        <f t="shared" si="20"/>
        <v>0</v>
      </c>
    </row>
    <row r="105" spans="1:10" x14ac:dyDescent="0.25">
      <c r="A105" s="659"/>
      <c r="B105" s="660">
        <f>Amnt_Deposited!J97</f>
        <v>2249.1</v>
      </c>
      <c r="C105" s="685">
        <f>MCF!R104</f>
        <v>1</v>
      </c>
      <c r="D105" s="684">
        <f t="shared" si="13"/>
        <v>0</v>
      </c>
      <c r="E105" s="656">
        <f t="shared" si="15"/>
        <v>0</v>
      </c>
      <c r="F105" s="662">
        <f t="shared" si="16"/>
        <v>0</v>
      </c>
      <c r="G105" s="662">
        <f t="shared" si="17"/>
        <v>0</v>
      </c>
      <c r="H105" s="662">
        <f t="shared" si="18"/>
        <v>0</v>
      </c>
      <c r="I105" s="662">
        <f t="shared" si="19"/>
        <v>0</v>
      </c>
      <c r="J105" s="663">
        <f t="shared" si="20"/>
        <v>0</v>
      </c>
    </row>
    <row r="106" spans="1:10" x14ac:dyDescent="0.25">
      <c r="A106" s="659"/>
      <c r="B106" s="660">
        <f>Amnt_Deposited!J98</f>
        <v>2249.1</v>
      </c>
      <c r="C106" s="685">
        <f>MCF!R105</f>
        <v>1</v>
      </c>
      <c r="D106" s="684">
        <f t="shared" si="13"/>
        <v>0</v>
      </c>
      <c r="E106" s="656">
        <f t="shared" si="15"/>
        <v>0</v>
      </c>
      <c r="F106" s="662">
        <f t="shared" si="16"/>
        <v>0</v>
      </c>
      <c r="G106" s="662">
        <f t="shared" si="17"/>
        <v>0</v>
      </c>
      <c r="H106" s="662">
        <f t="shared" si="18"/>
        <v>0</v>
      </c>
      <c r="I106" s="662">
        <f t="shared" si="19"/>
        <v>0</v>
      </c>
      <c r="J106" s="663">
        <f t="shared" si="20"/>
        <v>0</v>
      </c>
    </row>
    <row r="107" spans="1:10" x14ac:dyDescent="0.25">
      <c r="A107" s="659"/>
      <c r="B107" s="660">
        <f>Amnt_Deposited!J99</f>
        <v>2249.1</v>
      </c>
      <c r="C107" s="685">
        <f>MCF!R106</f>
        <v>1</v>
      </c>
      <c r="D107" s="684">
        <f t="shared" si="13"/>
        <v>0</v>
      </c>
      <c r="E107" s="656">
        <f t="shared" si="15"/>
        <v>0</v>
      </c>
      <c r="F107" s="662">
        <f t="shared" si="16"/>
        <v>0</v>
      </c>
      <c r="G107" s="662">
        <f t="shared" si="17"/>
        <v>0</v>
      </c>
      <c r="H107" s="662">
        <f t="shared" si="18"/>
        <v>0</v>
      </c>
      <c r="I107" s="662">
        <f t="shared" si="19"/>
        <v>0</v>
      </c>
      <c r="J107" s="663">
        <f t="shared" si="20"/>
        <v>0</v>
      </c>
    </row>
    <row r="108" spans="1:10" x14ac:dyDescent="0.25">
      <c r="A108" s="659">
        <f>Amnt_Deposited!B100</f>
        <v>2039</v>
      </c>
      <c r="B108" s="660">
        <f>Amnt_Deposited!J100</f>
        <v>2249.1</v>
      </c>
      <c r="C108" s="685">
        <f>MCF!R107</f>
        <v>1</v>
      </c>
      <c r="D108" s="684">
        <f t="shared" si="13"/>
        <v>0</v>
      </c>
      <c r="E108" s="656">
        <f t="shared" si="15"/>
        <v>0</v>
      </c>
      <c r="F108" s="662">
        <f t="shared" si="16"/>
        <v>0</v>
      </c>
      <c r="G108" s="662">
        <f t="shared" si="17"/>
        <v>0</v>
      </c>
      <c r="H108" s="662">
        <f t="shared" si="18"/>
        <v>0</v>
      </c>
      <c r="I108" s="662">
        <f t="shared" si="19"/>
        <v>0</v>
      </c>
      <c r="J108" s="663">
        <f t="shared" si="20"/>
        <v>0</v>
      </c>
    </row>
    <row r="109" spans="1:10" ht="15.75" thickBot="1" x14ac:dyDescent="0.3">
      <c r="A109" s="664">
        <f>Amnt_Deposited!B101</f>
        <v>2040</v>
      </c>
      <c r="B109" s="665">
        <f>Amnt_Deposited!J101</f>
        <v>2249.1</v>
      </c>
      <c r="C109" s="686">
        <f>MCF!R108</f>
        <v>1</v>
      </c>
      <c r="D109" s="687">
        <f t="shared" si="13"/>
        <v>0</v>
      </c>
      <c r="E109" s="667">
        <f t="shared" si="15"/>
        <v>0</v>
      </c>
      <c r="F109" s="667">
        <f t="shared" si="16"/>
        <v>0</v>
      </c>
      <c r="G109" s="667">
        <f t="shared" si="17"/>
        <v>0</v>
      </c>
      <c r="H109" s="667">
        <f t="shared" si="18"/>
        <v>0</v>
      </c>
      <c r="I109" s="667">
        <f t="shared" si="19"/>
        <v>0</v>
      </c>
      <c r="J109" s="668">
        <f t="shared" si="20"/>
        <v>0</v>
      </c>
    </row>
  </sheetData>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FF00"/>
  </sheetPr>
  <dimension ref="A1:N52"/>
  <sheetViews>
    <sheetView workbookViewId="0"/>
  </sheetViews>
  <sheetFormatPr defaultColWidth="11.42578125" defaultRowHeight="15" x14ac:dyDescent="0.25"/>
  <cols>
    <col min="1" max="1" width="2.7109375" customWidth="1"/>
    <col min="2" max="2" width="37.85546875" customWidth="1"/>
    <col min="3" max="5" width="10.5703125" customWidth="1"/>
    <col min="6" max="6" width="23.7109375" customWidth="1"/>
    <col min="7" max="7" width="95.42578125" customWidth="1"/>
    <col min="8" max="8" width="11.42578125" customWidth="1"/>
    <col min="9" max="9" width="4.140625" customWidth="1"/>
    <col min="10" max="10" width="5" customWidth="1"/>
    <col min="11" max="11" width="9.28515625" customWidth="1"/>
    <col min="12" max="12" width="38" customWidth="1"/>
    <col min="13" max="13" width="9.42578125" customWidth="1"/>
    <col min="257" max="257" width="2.7109375" customWidth="1"/>
    <col min="258" max="258" width="37.85546875" customWidth="1"/>
    <col min="259" max="261" width="10.5703125" customWidth="1"/>
    <col min="262" max="262" width="23.7109375" customWidth="1"/>
    <col min="263" max="263" width="95.42578125" customWidth="1"/>
    <col min="264" max="264" width="11.42578125" customWidth="1"/>
    <col min="265" max="265" width="4.140625" customWidth="1"/>
    <col min="266" max="266" width="5" customWidth="1"/>
    <col min="267" max="267" width="9.28515625" customWidth="1"/>
    <col min="268" max="268" width="38" customWidth="1"/>
    <col min="269" max="269" width="9.42578125" customWidth="1"/>
    <col min="513" max="513" width="2.7109375" customWidth="1"/>
    <col min="514" max="514" width="37.85546875" customWidth="1"/>
    <col min="515" max="517" width="10.5703125" customWidth="1"/>
    <col min="518" max="518" width="23.7109375" customWidth="1"/>
    <col min="519" max="519" width="95.42578125" customWidth="1"/>
    <col min="520" max="520" width="11.42578125" customWidth="1"/>
    <col min="521" max="521" width="4.140625" customWidth="1"/>
    <col min="522" max="522" width="5" customWidth="1"/>
    <col min="523" max="523" width="9.28515625" customWidth="1"/>
    <col min="524" max="524" width="38" customWidth="1"/>
    <col min="525" max="525" width="9.42578125" customWidth="1"/>
    <col min="769" max="769" width="2.7109375" customWidth="1"/>
    <col min="770" max="770" width="37.85546875" customWidth="1"/>
    <col min="771" max="773" width="10.5703125" customWidth="1"/>
    <col min="774" max="774" width="23.7109375" customWidth="1"/>
    <col min="775" max="775" width="95.42578125" customWidth="1"/>
    <col min="776" max="776" width="11.42578125" customWidth="1"/>
    <col min="777" max="777" width="4.140625" customWidth="1"/>
    <col min="778" max="778" width="5" customWidth="1"/>
    <col min="779" max="779" width="9.28515625" customWidth="1"/>
    <col min="780" max="780" width="38" customWidth="1"/>
    <col min="781" max="781" width="9.42578125" customWidth="1"/>
    <col min="1025" max="1025" width="2.7109375" customWidth="1"/>
    <col min="1026" max="1026" width="37.85546875" customWidth="1"/>
    <col min="1027" max="1029" width="10.5703125" customWidth="1"/>
    <col min="1030" max="1030" width="23.7109375" customWidth="1"/>
    <col min="1031" max="1031" width="95.42578125" customWidth="1"/>
    <col min="1032" max="1032" width="11.42578125" customWidth="1"/>
    <col min="1033" max="1033" width="4.140625" customWidth="1"/>
    <col min="1034" max="1034" width="5" customWidth="1"/>
    <col min="1035" max="1035" width="9.28515625" customWidth="1"/>
    <col min="1036" max="1036" width="38" customWidth="1"/>
    <col min="1037" max="1037" width="9.42578125" customWidth="1"/>
    <col min="1281" max="1281" width="2.7109375" customWidth="1"/>
    <col min="1282" max="1282" width="37.85546875" customWidth="1"/>
    <col min="1283" max="1285" width="10.5703125" customWidth="1"/>
    <col min="1286" max="1286" width="23.7109375" customWidth="1"/>
    <col min="1287" max="1287" width="95.42578125" customWidth="1"/>
    <col min="1288" max="1288" width="11.42578125" customWidth="1"/>
    <col min="1289" max="1289" width="4.140625" customWidth="1"/>
    <col min="1290" max="1290" width="5" customWidth="1"/>
    <col min="1291" max="1291" width="9.28515625" customWidth="1"/>
    <col min="1292" max="1292" width="38" customWidth="1"/>
    <col min="1293" max="1293" width="9.42578125" customWidth="1"/>
    <col min="1537" max="1537" width="2.7109375" customWidth="1"/>
    <col min="1538" max="1538" width="37.85546875" customWidth="1"/>
    <col min="1539" max="1541" width="10.5703125" customWidth="1"/>
    <col min="1542" max="1542" width="23.7109375" customWidth="1"/>
    <col min="1543" max="1543" width="95.42578125" customWidth="1"/>
    <col min="1544" max="1544" width="11.42578125" customWidth="1"/>
    <col min="1545" max="1545" width="4.140625" customWidth="1"/>
    <col min="1546" max="1546" width="5" customWidth="1"/>
    <col min="1547" max="1547" width="9.28515625" customWidth="1"/>
    <col min="1548" max="1548" width="38" customWidth="1"/>
    <col min="1549" max="1549" width="9.42578125" customWidth="1"/>
    <col min="1793" max="1793" width="2.7109375" customWidth="1"/>
    <col min="1794" max="1794" width="37.85546875" customWidth="1"/>
    <col min="1795" max="1797" width="10.5703125" customWidth="1"/>
    <col min="1798" max="1798" width="23.7109375" customWidth="1"/>
    <col min="1799" max="1799" width="95.42578125" customWidth="1"/>
    <col min="1800" max="1800" width="11.42578125" customWidth="1"/>
    <col min="1801" max="1801" width="4.140625" customWidth="1"/>
    <col min="1802" max="1802" width="5" customWidth="1"/>
    <col min="1803" max="1803" width="9.28515625" customWidth="1"/>
    <col min="1804" max="1804" width="38" customWidth="1"/>
    <col min="1805" max="1805" width="9.42578125" customWidth="1"/>
    <col min="2049" max="2049" width="2.7109375" customWidth="1"/>
    <col min="2050" max="2050" width="37.85546875" customWidth="1"/>
    <col min="2051" max="2053" width="10.5703125" customWidth="1"/>
    <col min="2054" max="2054" width="23.7109375" customWidth="1"/>
    <col min="2055" max="2055" width="95.42578125" customWidth="1"/>
    <col min="2056" max="2056" width="11.42578125" customWidth="1"/>
    <col min="2057" max="2057" width="4.140625" customWidth="1"/>
    <col min="2058" max="2058" width="5" customWidth="1"/>
    <col min="2059" max="2059" width="9.28515625" customWidth="1"/>
    <col min="2060" max="2060" width="38" customWidth="1"/>
    <col min="2061" max="2061" width="9.42578125" customWidth="1"/>
    <col min="2305" max="2305" width="2.7109375" customWidth="1"/>
    <col min="2306" max="2306" width="37.85546875" customWidth="1"/>
    <col min="2307" max="2309" width="10.5703125" customWidth="1"/>
    <col min="2310" max="2310" width="23.7109375" customWidth="1"/>
    <col min="2311" max="2311" width="95.42578125" customWidth="1"/>
    <col min="2312" max="2312" width="11.42578125" customWidth="1"/>
    <col min="2313" max="2313" width="4.140625" customWidth="1"/>
    <col min="2314" max="2314" width="5" customWidth="1"/>
    <col min="2315" max="2315" width="9.28515625" customWidth="1"/>
    <col min="2316" max="2316" width="38" customWidth="1"/>
    <col min="2317" max="2317" width="9.42578125" customWidth="1"/>
    <col min="2561" max="2561" width="2.7109375" customWidth="1"/>
    <col min="2562" max="2562" width="37.85546875" customWidth="1"/>
    <col min="2563" max="2565" width="10.5703125" customWidth="1"/>
    <col min="2566" max="2566" width="23.7109375" customWidth="1"/>
    <col min="2567" max="2567" width="95.42578125" customWidth="1"/>
    <col min="2568" max="2568" width="11.42578125" customWidth="1"/>
    <col min="2569" max="2569" width="4.140625" customWidth="1"/>
    <col min="2570" max="2570" width="5" customWidth="1"/>
    <col min="2571" max="2571" width="9.28515625" customWidth="1"/>
    <col min="2572" max="2572" width="38" customWidth="1"/>
    <col min="2573" max="2573" width="9.42578125" customWidth="1"/>
    <col min="2817" max="2817" width="2.7109375" customWidth="1"/>
    <col min="2818" max="2818" width="37.85546875" customWidth="1"/>
    <col min="2819" max="2821" width="10.5703125" customWidth="1"/>
    <col min="2822" max="2822" width="23.7109375" customWidth="1"/>
    <col min="2823" max="2823" width="95.42578125" customWidth="1"/>
    <col min="2824" max="2824" width="11.42578125" customWidth="1"/>
    <col min="2825" max="2825" width="4.140625" customWidth="1"/>
    <col min="2826" max="2826" width="5" customWidth="1"/>
    <col min="2827" max="2827" width="9.28515625" customWidth="1"/>
    <col min="2828" max="2828" width="38" customWidth="1"/>
    <col min="2829" max="2829" width="9.42578125" customWidth="1"/>
    <col min="3073" max="3073" width="2.7109375" customWidth="1"/>
    <col min="3074" max="3074" width="37.85546875" customWidth="1"/>
    <col min="3075" max="3077" width="10.5703125" customWidth="1"/>
    <col min="3078" max="3078" width="23.7109375" customWidth="1"/>
    <col min="3079" max="3079" width="95.42578125" customWidth="1"/>
    <col min="3080" max="3080" width="11.42578125" customWidth="1"/>
    <col min="3081" max="3081" width="4.140625" customWidth="1"/>
    <col min="3082" max="3082" width="5" customWidth="1"/>
    <col min="3083" max="3083" width="9.28515625" customWidth="1"/>
    <col min="3084" max="3084" width="38" customWidth="1"/>
    <col min="3085" max="3085" width="9.42578125" customWidth="1"/>
    <col min="3329" max="3329" width="2.7109375" customWidth="1"/>
    <col min="3330" max="3330" width="37.85546875" customWidth="1"/>
    <col min="3331" max="3333" width="10.5703125" customWidth="1"/>
    <col min="3334" max="3334" width="23.7109375" customWidth="1"/>
    <col min="3335" max="3335" width="95.42578125" customWidth="1"/>
    <col min="3336" max="3336" width="11.42578125" customWidth="1"/>
    <col min="3337" max="3337" width="4.140625" customWidth="1"/>
    <col min="3338" max="3338" width="5" customWidth="1"/>
    <col min="3339" max="3339" width="9.28515625" customWidth="1"/>
    <col min="3340" max="3340" width="38" customWidth="1"/>
    <col min="3341" max="3341" width="9.42578125" customWidth="1"/>
    <col min="3585" max="3585" width="2.7109375" customWidth="1"/>
    <col min="3586" max="3586" width="37.85546875" customWidth="1"/>
    <col min="3587" max="3589" width="10.5703125" customWidth="1"/>
    <col min="3590" max="3590" width="23.7109375" customWidth="1"/>
    <col min="3591" max="3591" width="95.42578125" customWidth="1"/>
    <col min="3592" max="3592" width="11.42578125" customWidth="1"/>
    <col min="3593" max="3593" width="4.140625" customWidth="1"/>
    <col min="3594" max="3594" width="5" customWidth="1"/>
    <col min="3595" max="3595" width="9.28515625" customWidth="1"/>
    <col min="3596" max="3596" width="38" customWidth="1"/>
    <col min="3597" max="3597" width="9.42578125" customWidth="1"/>
    <col min="3841" max="3841" width="2.7109375" customWidth="1"/>
    <col min="3842" max="3842" width="37.85546875" customWidth="1"/>
    <col min="3843" max="3845" width="10.5703125" customWidth="1"/>
    <col min="3846" max="3846" width="23.7109375" customWidth="1"/>
    <col min="3847" max="3847" width="95.42578125" customWidth="1"/>
    <col min="3848" max="3848" width="11.42578125" customWidth="1"/>
    <col min="3849" max="3849" width="4.140625" customWidth="1"/>
    <col min="3850" max="3850" width="5" customWidth="1"/>
    <col min="3851" max="3851" width="9.28515625" customWidth="1"/>
    <col min="3852" max="3852" width="38" customWidth="1"/>
    <col min="3853" max="3853" width="9.42578125" customWidth="1"/>
    <col min="4097" max="4097" width="2.7109375" customWidth="1"/>
    <col min="4098" max="4098" width="37.85546875" customWidth="1"/>
    <col min="4099" max="4101" width="10.5703125" customWidth="1"/>
    <col min="4102" max="4102" width="23.7109375" customWidth="1"/>
    <col min="4103" max="4103" width="95.42578125" customWidth="1"/>
    <col min="4104" max="4104" width="11.42578125" customWidth="1"/>
    <col min="4105" max="4105" width="4.140625" customWidth="1"/>
    <col min="4106" max="4106" width="5" customWidth="1"/>
    <col min="4107" max="4107" width="9.28515625" customWidth="1"/>
    <col min="4108" max="4108" width="38" customWidth="1"/>
    <col min="4109" max="4109" width="9.42578125" customWidth="1"/>
    <col min="4353" max="4353" width="2.7109375" customWidth="1"/>
    <col min="4354" max="4354" width="37.85546875" customWidth="1"/>
    <col min="4355" max="4357" width="10.5703125" customWidth="1"/>
    <col min="4358" max="4358" width="23.7109375" customWidth="1"/>
    <col min="4359" max="4359" width="95.42578125" customWidth="1"/>
    <col min="4360" max="4360" width="11.42578125" customWidth="1"/>
    <col min="4361" max="4361" width="4.140625" customWidth="1"/>
    <col min="4362" max="4362" width="5" customWidth="1"/>
    <col min="4363" max="4363" width="9.28515625" customWidth="1"/>
    <col min="4364" max="4364" width="38" customWidth="1"/>
    <col min="4365" max="4365" width="9.42578125" customWidth="1"/>
    <col min="4609" max="4609" width="2.7109375" customWidth="1"/>
    <col min="4610" max="4610" width="37.85546875" customWidth="1"/>
    <col min="4611" max="4613" width="10.5703125" customWidth="1"/>
    <col min="4614" max="4614" width="23.7109375" customWidth="1"/>
    <col min="4615" max="4615" width="95.42578125" customWidth="1"/>
    <col min="4616" max="4616" width="11.42578125" customWidth="1"/>
    <col min="4617" max="4617" width="4.140625" customWidth="1"/>
    <col min="4618" max="4618" width="5" customWidth="1"/>
    <col min="4619" max="4619" width="9.28515625" customWidth="1"/>
    <col min="4620" max="4620" width="38" customWidth="1"/>
    <col min="4621" max="4621" width="9.42578125" customWidth="1"/>
    <col min="4865" max="4865" width="2.7109375" customWidth="1"/>
    <col min="4866" max="4866" width="37.85546875" customWidth="1"/>
    <col min="4867" max="4869" width="10.5703125" customWidth="1"/>
    <col min="4870" max="4870" width="23.7109375" customWidth="1"/>
    <col min="4871" max="4871" width="95.42578125" customWidth="1"/>
    <col min="4872" max="4872" width="11.42578125" customWidth="1"/>
    <col min="4873" max="4873" width="4.140625" customWidth="1"/>
    <col min="4874" max="4874" width="5" customWidth="1"/>
    <col min="4875" max="4875" width="9.28515625" customWidth="1"/>
    <col min="4876" max="4876" width="38" customWidth="1"/>
    <col min="4877" max="4877" width="9.42578125" customWidth="1"/>
    <col min="5121" max="5121" width="2.7109375" customWidth="1"/>
    <col min="5122" max="5122" width="37.85546875" customWidth="1"/>
    <col min="5123" max="5125" width="10.5703125" customWidth="1"/>
    <col min="5126" max="5126" width="23.7109375" customWidth="1"/>
    <col min="5127" max="5127" width="95.42578125" customWidth="1"/>
    <col min="5128" max="5128" width="11.42578125" customWidth="1"/>
    <col min="5129" max="5129" width="4.140625" customWidth="1"/>
    <col min="5130" max="5130" width="5" customWidth="1"/>
    <col min="5131" max="5131" width="9.28515625" customWidth="1"/>
    <col min="5132" max="5132" width="38" customWidth="1"/>
    <col min="5133" max="5133" width="9.42578125" customWidth="1"/>
    <col min="5377" max="5377" width="2.7109375" customWidth="1"/>
    <col min="5378" max="5378" width="37.85546875" customWidth="1"/>
    <col min="5379" max="5381" width="10.5703125" customWidth="1"/>
    <col min="5382" max="5382" width="23.7109375" customWidth="1"/>
    <col min="5383" max="5383" width="95.42578125" customWidth="1"/>
    <col min="5384" max="5384" width="11.42578125" customWidth="1"/>
    <col min="5385" max="5385" width="4.140625" customWidth="1"/>
    <col min="5386" max="5386" width="5" customWidth="1"/>
    <col min="5387" max="5387" width="9.28515625" customWidth="1"/>
    <col min="5388" max="5388" width="38" customWidth="1"/>
    <col min="5389" max="5389" width="9.42578125" customWidth="1"/>
    <col min="5633" max="5633" width="2.7109375" customWidth="1"/>
    <col min="5634" max="5634" width="37.85546875" customWidth="1"/>
    <col min="5635" max="5637" width="10.5703125" customWidth="1"/>
    <col min="5638" max="5638" width="23.7109375" customWidth="1"/>
    <col min="5639" max="5639" width="95.42578125" customWidth="1"/>
    <col min="5640" max="5640" width="11.42578125" customWidth="1"/>
    <col min="5641" max="5641" width="4.140625" customWidth="1"/>
    <col min="5642" max="5642" width="5" customWidth="1"/>
    <col min="5643" max="5643" width="9.28515625" customWidth="1"/>
    <col min="5644" max="5644" width="38" customWidth="1"/>
    <col min="5645" max="5645" width="9.42578125" customWidth="1"/>
    <col min="5889" max="5889" width="2.7109375" customWidth="1"/>
    <col min="5890" max="5890" width="37.85546875" customWidth="1"/>
    <col min="5891" max="5893" width="10.5703125" customWidth="1"/>
    <col min="5894" max="5894" width="23.7109375" customWidth="1"/>
    <col min="5895" max="5895" width="95.42578125" customWidth="1"/>
    <col min="5896" max="5896" width="11.42578125" customWidth="1"/>
    <col min="5897" max="5897" width="4.140625" customWidth="1"/>
    <col min="5898" max="5898" width="5" customWidth="1"/>
    <col min="5899" max="5899" width="9.28515625" customWidth="1"/>
    <col min="5900" max="5900" width="38" customWidth="1"/>
    <col min="5901" max="5901" width="9.42578125" customWidth="1"/>
    <col min="6145" max="6145" width="2.7109375" customWidth="1"/>
    <col min="6146" max="6146" width="37.85546875" customWidth="1"/>
    <col min="6147" max="6149" width="10.5703125" customWidth="1"/>
    <col min="6150" max="6150" width="23.7109375" customWidth="1"/>
    <col min="6151" max="6151" width="95.42578125" customWidth="1"/>
    <col min="6152" max="6152" width="11.42578125" customWidth="1"/>
    <col min="6153" max="6153" width="4.140625" customWidth="1"/>
    <col min="6154" max="6154" width="5" customWidth="1"/>
    <col min="6155" max="6155" width="9.28515625" customWidth="1"/>
    <col min="6156" max="6156" width="38" customWidth="1"/>
    <col min="6157" max="6157" width="9.42578125" customWidth="1"/>
    <col min="6401" max="6401" width="2.7109375" customWidth="1"/>
    <col min="6402" max="6402" width="37.85546875" customWidth="1"/>
    <col min="6403" max="6405" width="10.5703125" customWidth="1"/>
    <col min="6406" max="6406" width="23.7109375" customWidth="1"/>
    <col min="6407" max="6407" width="95.42578125" customWidth="1"/>
    <col min="6408" max="6408" width="11.42578125" customWidth="1"/>
    <col min="6409" max="6409" width="4.140625" customWidth="1"/>
    <col min="6410" max="6410" width="5" customWidth="1"/>
    <col min="6411" max="6411" width="9.28515625" customWidth="1"/>
    <col min="6412" max="6412" width="38" customWidth="1"/>
    <col min="6413" max="6413" width="9.42578125" customWidth="1"/>
    <col min="6657" max="6657" width="2.7109375" customWidth="1"/>
    <col min="6658" max="6658" width="37.85546875" customWidth="1"/>
    <col min="6659" max="6661" width="10.5703125" customWidth="1"/>
    <col min="6662" max="6662" width="23.7109375" customWidth="1"/>
    <col min="6663" max="6663" width="95.42578125" customWidth="1"/>
    <col min="6664" max="6664" width="11.42578125" customWidth="1"/>
    <col min="6665" max="6665" width="4.140625" customWidth="1"/>
    <col min="6666" max="6666" width="5" customWidth="1"/>
    <col min="6667" max="6667" width="9.28515625" customWidth="1"/>
    <col min="6668" max="6668" width="38" customWidth="1"/>
    <col min="6669" max="6669" width="9.42578125" customWidth="1"/>
    <col min="6913" max="6913" width="2.7109375" customWidth="1"/>
    <col min="6914" max="6914" width="37.85546875" customWidth="1"/>
    <col min="6915" max="6917" width="10.5703125" customWidth="1"/>
    <col min="6918" max="6918" width="23.7109375" customWidth="1"/>
    <col min="6919" max="6919" width="95.42578125" customWidth="1"/>
    <col min="6920" max="6920" width="11.42578125" customWidth="1"/>
    <col min="6921" max="6921" width="4.140625" customWidth="1"/>
    <col min="6922" max="6922" width="5" customWidth="1"/>
    <col min="6923" max="6923" width="9.28515625" customWidth="1"/>
    <col min="6924" max="6924" width="38" customWidth="1"/>
    <col min="6925" max="6925" width="9.42578125" customWidth="1"/>
    <col min="7169" max="7169" width="2.7109375" customWidth="1"/>
    <col min="7170" max="7170" width="37.85546875" customWidth="1"/>
    <col min="7171" max="7173" width="10.5703125" customWidth="1"/>
    <col min="7174" max="7174" width="23.7109375" customWidth="1"/>
    <col min="7175" max="7175" width="95.42578125" customWidth="1"/>
    <col min="7176" max="7176" width="11.42578125" customWidth="1"/>
    <col min="7177" max="7177" width="4.140625" customWidth="1"/>
    <col min="7178" max="7178" width="5" customWidth="1"/>
    <col min="7179" max="7179" width="9.28515625" customWidth="1"/>
    <col min="7180" max="7180" width="38" customWidth="1"/>
    <col min="7181" max="7181" width="9.42578125" customWidth="1"/>
    <col min="7425" max="7425" width="2.7109375" customWidth="1"/>
    <col min="7426" max="7426" width="37.85546875" customWidth="1"/>
    <col min="7427" max="7429" width="10.5703125" customWidth="1"/>
    <col min="7430" max="7430" width="23.7109375" customWidth="1"/>
    <col min="7431" max="7431" width="95.42578125" customWidth="1"/>
    <col min="7432" max="7432" width="11.42578125" customWidth="1"/>
    <col min="7433" max="7433" width="4.140625" customWidth="1"/>
    <col min="7434" max="7434" width="5" customWidth="1"/>
    <col min="7435" max="7435" width="9.28515625" customWidth="1"/>
    <col min="7436" max="7436" width="38" customWidth="1"/>
    <col min="7437" max="7437" width="9.42578125" customWidth="1"/>
    <col min="7681" max="7681" width="2.7109375" customWidth="1"/>
    <col min="7682" max="7682" width="37.85546875" customWidth="1"/>
    <col min="7683" max="7685" width="10.5703125" customWidth="1"/>
    <col min="7686" max="7686" width="23.7109375" customWidth="1"/>
    <col min="7687" max="7687" width="95.42578125" customWidth="1"/>
    <col min="7688" max="7688" width="11.42578125" customWidth="1"/>
    <col min="7689" max="7689" width="4.140625" customWidth="1"/>
    <col min="7690" max="7690" width="5" customWidth="1"/>
    <col min="7691" max="7691" width="9.28515625" customWidth="1"/>
    <col min="7692" max="7692" width="38" customWidth="1"/>
    <col min="7693" max="7693" width="9.42578125" customWidth="1"/>
    <col min="7937" max="7937" width="2.7109375" customWidth="1"/>
    <col min="7938" max="7938" width="37.85546875" customWidth="1"/>
    <col min="7939" max="7941" width="10.5703125" customWidth="1"/>
    <col min="7942" max="7942" width="23.7109375" customWidth="1"/>
    <col min="7943" max="7943" width="95.42578125" customWidth="1"/>
    <col min="7944" max="7944" width="11.42578125" customWidth="1"/>
    <col min="7945" max="7945" width="4.140625" customWidth="1"/>
    <col min="7946" max="7946" width="5" customWidth="1"/>
    <col min="7947" max="7947" width="9.28515625" customWidth="1"/>
    <col min="7948" max="7948" width="38" customWidth="1"/>
    <col min="7949" max="7949" width="9.42578125" customWidth="1"/>
    <col min="8193" max="8193" width="2.7109375" customWidth="1"/>
    <col min="8194" max="8194" width="37.85546875" customWidth="1"/>
    <col min="8195" max="8197" width="10.5703125" customWidth="1"/>
    <col min="8198" max="8198" width="23.7109375" customWidth="1"/>
    <col min="8199" max="8199" width="95.42578125" customWidth="1"/>
    <col min="8200" max="8200" width="11.42578125" customWidth="1"/>
    <col min="8201" max="8201" width="4.140625" customWidth="1"/>
    <col min="8202" max="8202" width="5" customWidth="1"/>
    <col min="8203" max="8203" width="9.28515625" customWidth="1"/>
    <col min="8204" max="8204" width="38" customWidth="1"/>
    <col min="8205" max="8205" width="9.42578125" customWidth="1"/>
    <col min="8449" max="8449" width="2.7109375" customWidth="1"/>
    <col min="8450" max="8450" width="37.85546875" customWidth="1"/>
    <col min="8451" max="8453" width="10.5703125" customWidth="1"/>
    <col min="8454" max="8454" width="23.7109375" customWidth="1"/>
    <col min="8455" max="8455" width="95.42578125" customWidth="1"/>
    <col min="8456" max="8456" width="11.42578125" customWidth="1"/>
    <col min="8457" max="8457" width="4.140625" customWidth="1"/>
    <col min="8458" max="8458" width="5" customWidth="1"/>
    <col min="8459" max="8459" width="9.28515625" customWidth="1"/>
    <col min="8460" max="8460" width="38" customWidth="1"/>
    <col min="8461" max="8461" width="9.42578125" customWidth="1"/>
    <col min="8705" max="8705" width="2.7109375" customWidth="1"/>
    <col min="8706" max="8706" width="37.85546875" customWidth="1"/>
    <col min="8707" max="8709" width="10.5703125" customWidth="1"/>
    <col min="8710" max="8710" width="23.7109375" customWidth="1"/>
    <col min="8711" max="8711" width="95.42578125" customWidth="1"/>
    <col min="8712" max="8712" width="11.42578125" customWidth="1"/>
    <col min="8713" max="8713" width="4.140625" customWidth="1"/>
    <col min="8714" max="8714" width="5" customWidth="1"/>
    <col min="8715" max="8715" width="9.28515625" customWidth="1"/>
    <col min="8716" max="8716" width="38" customWidth="1"/>
    <col min="8717" max="8717" width="9.42578125" customWidth="1"/>
    <col min="8961" max="8961" width="2.7109375" customWidth="1"/>
    <col min="8962" max="8962" width="37.85546875" customWidth="1"/>
    <col min="8963" max="8965" width="10.5703125" customWidth="1"/>
    <col min="8966" max="8966" width="23.7109375" customWidth="1"/>
    <col min="8967" max="8967" width="95.42578125" customWidth="1"/>
    <col min="8968" max="8968" width="11.42578125" customWidth="1"/>
    <col min="8969" max="8969" width="4.140625" customWidth="1"/>
    <col min="8970" max="8970" width="5" customWidth="1"/>
    <col min="8971" max="8971" width="9.28515625" customWidth="1"/>
    <col min="8972" max="8972" width="38" customWidth="1"/>
    <col min="8973" max="8973" width="9.42578125" customWidth="1"/>
    <col min="9217" max="9217" width="2.7109375" customWidth="1"/>
    <col min="9218" max="9218" width="37.85546875" customWidth="1"/>
    <col min="9219" max="9221" width="10.5703125" customWidth="1"/>
    <col min="9222" max="9222" width="23.7109375" customWidth="1"/>
    <col min="9223" max="9223" width="95.42578125" customWidth="1"/>
    <col min="9224" max="9224" width="11.42578125" customWidth="1"/>
    <col min="9225" max="9225" width="4.140625" customWidth="1"/>
    <col min="9226" max="9226" width="5" customWidth="1"/>
    <col min="9227" max="9227" width="9.28515625" customWidth="1"/>
    <col min="9228" max="9228" width="38" customWidth="1"/>
    <col min="9229" max="9229" width="9.42578125" customWidth="1"/>
    <col min="9473" max="9473" width="2.7109375" customWidth="1"/>
    <col min="9474" max="9474" width="37.85546875" customWidth="1"/>
    <col min="9475" max="9477" width="10.5703125" customWidth="1"/>
    <col min="9478" max="9478" width="23.7109375" customWidth="1"/>
    <col min="9479" max="9479" width="95.42578125" customWidth="1"/>
    <col min="9480" max="9480" width="11.42578125" customWidth="1"/>
    <col min="9481" max="9481" width="4.140625" customWidth="1"/>
    <col min="9482" max="9482" width="5" customWidth="1"/>
    <col min="9483" max="9483" width="9.28515625" customWidth="1"/>
    <col min="9484" max="9484" width="38" customWidth="1"/>
    <col min="9485" max="9485" width="9.42578125" customWidth="1"/>
    <col min="9729" max="9729" width="2.7109375" customWidth="1"/>
    <col min="9730" max="9730" width="37.85546875" customWidth="1"/>
    <col min="9731" max="9733" width="10.5703125" customWidth="1"/>
    <col min="9734" max="9734" width="23.7109375" customWidth="1"/>
    <col min="9735" max="9735" width="95.42578125" customWidth="1"/>
    <col min="9736" max="9736" width="11.42578125" customWidth="1"/>
    <col min="9737" max="9737" width="4.140625" customWidth="1"/>
    <col min="9738" max="9738" width="5" customWidth="1"/>
    <col min="9739" max="9739" width="9.28515625" customWidth="1"/>
    <col min="9740" max="9740" width="38" customWidth="1"/>
    <col min="9741" max="9741" width="9.42578125" customWidth="1"/>
    <col min="9985" max="9985" width="2.7109375" customWidth="1"/>
    <col min="9986" max="9986" width="37.85546875" customWidth="1"/>
    <col min="9987" max="9989" width="10.5703125" customWidth="1"/>
    <col min="9990" max="9990" width="23.7109375" customWidth="1"/>
    <col min="9991" max="9991" width="95.42578125" customWidth="1"/>
    <col min="9992" max="9992" width="11.42578125" customWidth="1"/>
    <col min="9993" max="9993" width="4.140625" customWidth="1"/>
    <col min="9994" max="9994" width="5" customWidth="1"/>
    <col min="9995" max="9995" width="9.28515625" customWidth="1"/>
    <col min="9996" max="9996" width="38" customWidth="1"/>
    <col min="9997" max="9997" width="9.42578125" customWidth="1"/>
    <col min="10241" max="10241" width="2.7109375" customWidth="1"/>
    <col min="10242" max="10242" width="37.85546875" customWidth="1"/>
    <col min="10243" max="10245" width="10.5703125" customWidth="1"/>
    <col min="10246" max="10246" width="23.7109375" customWidth="1"/>
    <col min="10247" max="10247" width="95.42578125" customWidth="1"/>
    <col min="10248" max="10248" width="11.42578125" customWidth="1"/>
    <col min="10249" max="10249" width="4.140625" customWidth="1"/>
    <col min="10250" max="10250" width="5" customWidth="1"/>
    <col min="10251" max="10251" width="9.28515625" customWidth="1"/>
    <col min="10252" max="10252" width="38" customWidth="1"/>
    <col min="10253" max="10253" width="9.42578125" customWidth="1"/>
    <col min="10497" max="10497" width="2.7109375" customWidth="1"/>
    <col min="10498" max="10498" width="37.85546875" customWidth="1"/>
    <col min="10499" max="10501" width="10.5703125" customWidth="1"/>
    <col min="10502" max="10502" width="23.7109375" customWidth="1"/>
    <col min="10503" max="10503" width="95.42578125" customWidth="1"/>
    <col min="10504" max="10504" width="11.42578125" customWidth="1"/>
    <col min="10505" max="10505" width="4.140625" customWidth="1"/>
    <col min="10506" max="10506" width="5" customWidth="1"/>
    <col min="10507" max="10507" width="9.28515625" customWidth="1"/>
    <col min="10508" max="10508" width="38" customWidth="1"/>
    <col min="10509" max="10509" width="9.42578125" customWidth="1"/>
    <col min="10753" max="10753" width="2.7109375" customWidth="1"/>
    <col min="10754" max="10754" width="37.85546875" customWidth="1"/>
    <col min="10755" max="10757" width="10.5703125" customWidth="1"/>
    <col min="10758" max="10758" width="23.7109375" customWidth="1"/>
    <col min="10759" max="10759" width="95.42578125" customWidth="1"/>
    <col min="10760" max="10760" width="11.42578125" customWidth="1"/>
    <col min="10761" max="10761" width="4.140625" customWidth="1"/>
    <col min="10762" max="10762" width="5" customWidth="1"/>
    <col min="10763" max="10763" width="9.28515625" customWidth="1"/>
    <col min="10764" max="10764" width="38" customWidth="1"/>
    <col min="10765" max="10765" width="9.42578125" customWidth="1"/>
    <col min="11009" max="11009" width="2.7109375" customWidth="1"/>
    <col min="11010" max="11010" width="37.85546875" customWidth="1"/>
    <col min="11011" max="11013" width="10.5703125" customWidth="1"/>
    <col min="11014" max="11014" width="23.7109375" customWidth="1"/>
    <col min="11015" max="11015" width="95.42578125" customWidth="1"/>
    <col min="11016" max="11016" width="11.42578125" customWidth="1"/>
    <col min="11017" max="11017" width="4.140625" customWidth="1"/>
    <col min="11018" max="11018" width="5" customWidth="1"/>
    <col min="11019" max="11019" width="9.28515625" customWidth="1"/>
    <col min="11020" max="11020" width="38" customWidth="1"/>
    <col min="11021" max="11021" width="9.42578125" customWidth="1"/>
    <col min="11265" max="11265" width="2.7109375" customWidth="1"/>
    <col min="11266" max="11266" width="37.85546875" customWidth="1"/>
    <col min="11267" max="11269" width="10.5703125" customWidth="1"/>
    <col min="11270" max="11270" width="23.7109375" customWidth="1"/>
    <col min="11271" max="11271" width="95.42578125" customWidth="1"/>
    <col min="11272" max="11272" width="11.42578125" customWidth="1"/>
    <col min="11273" max="11273" width="4.140625" customWidth="1"/>
    <col min="11274" max="11274" width="5" customWidth="1"/>
    <col min="11275" max="11275" width="9.28515625" customWidth="1"/>
    <col min="11276" max="11276" width="38" customWidth="1"/>
    <col min="11277" max="11277" width="9.42578125" customWidth="1"/>
    <col min="11521" max="11521" width="2.7109375" customWidth="1"/>
    <col min="11522" max="11522" width="37.85546875" customWidth="1"/>
    <col min="11523" max="11525" width="10.5703125" customWidth="1"/>
    <col min="11526" max="11526" width="23.7109375" customWidth="1"/>
    <col min="11527" max="11527" width="95.42578125" customWidth="1"/>
    <col min="11528" max="11528" width="11.42578125" customWidth="1"/>
    <col min="11529" max="11529" width="4.140625" customWidth="1"/>
    <col min="11530" max="11530" width="5" customWidth="1"/>
    <col min="11531" max="11531" width="9.28515625" customWidth="1"/>
    <col min="11532" max="11532" width="38" customWidth="1"/>
    <col min="11533" max="11533" width="9.42578125" customWidth="1"/>
    <col min="11777" max="11777" width="2.7109375" customWidth="1"/>
    <col min="11778" max="11778" width="37.85546875" customWidth="1"/>
    <col min="11779" max="11781" width="10.5703125" customWidth="1"/>
    <col min="11782" max="11782" width="23.7109375" customWidth="1"/>
    <col min="11783" max="11783" width="95.42578125" customWidth="1"/>
    <col min="11784" max="11784" width="11.42578125" customWidth="1"/>
    <col min="11785" max="11785" width="4.140625" customWidth="1"/>
    <col min="11786" max="11786" width="5" customWidth="1"/>
    <col min="11787" max="11787" width="9.28515625" customWidth="1"/>
    <col min="11788" max="11788" width="38" customWidth="1"/>
    <col min="11789" max="11789" width="9.42578125" customWidth="1"/>
    <col min="12033" max="12033" width="2.7109375" customWidth="1"/>
    <col min="12034" max="12034" width="37.85546875" customWidth="1"/>
    <col min="12035" max="12037" width="10.5703125" customWidth="1"/>
    <col min="12038" max="12038" width="23.7109375" customWidth="1"/>
    <col min="12039" max="12039" width="95.42578125" customWidth="1"/>
    <col min="12040" max="12040" width="11.42578125" customWidth="1"/>
    <col min="12041" max="12041" width="4.140625" customWidth="1"/>
    <col min="12042" max="12042" width="5" customWidth="1"/>
    <col min="12043" max="12043" width="9.28515625" customWidth="1"/>
    <col min="12044" max="12044" width="38" customWidth="1"/>
    <col min="12045" max="12045" width="9.42578125" customWidth="1"/>
    <col min="12289" max="12289" width="2.7109375" customWidth="1"/>
    <col min="12290" max="12290" width="37.85546875" customWidth="1"/>
    <col min="12291" max="12293" width="10.5703125" customWidth="1"/>
    <col min="12294" max="12294" width="23.7109375" customWidth="1"/>
    <col min="12295" max="12295" width="95.42578125" customWidth="1"/>
    <col min="12296" max="12296" width="11.42578125" customWidth="1"/>
    <col min="12297" max="12297" width="4.140625" customWidth="1"/>
    <col min="12298" max="12298" width="5" customWidth="1"/>
    <col min="12299" max="12299" width="9.28515625" customWidth="1"/>
    <col min="12300" max="12300" width="38" customWidth="1"/>
    <col min="12301" max="12301" width="9.42578125" customWidth="1"/>
    <col min="12545" max="12545" width="2.7109375" customWidth="1"/>
    <col min="12546" max="12546" width="37.85546875" customWidth="1"/>
    <col min="12547" max="12549" width="10.5703125" customWidth="1"/>
    <col min="12550" max="12550" width="23.7109375" customWidth="1"/>
    <col min="12551" max="12551" width="95.42578125" customWidth="1"/>
    <col min="12552" max="12552" width="11.42578125" customWidth="1"/>
    <col min="12553" max="12553" width="4.140625" customWidth="1"/>
    <col min="12554" max="12554" width="5" customWidth="1"/>
    <col min="12555" max="12555" width="9.28515625" customWidth="1"/>
    <col min="12556" max="12556" width="38" customWidth="1"/>
    <col min="12557" max="12557" width="9.42578125" customWidth="1"/>
    <col min="12801" max="12801" width="2.7109375" customWidth="1"/>
    <col min="12802" max="12802" width="37.85546875" customWidth="1"/>
    <col min="12803" max="12805" width="10.5703125" customWidth="1"/>
    <col min="12806" max="12806" width="23.7109375" customWidth="1"/>
    <col min="12807" max="12807" width="95.42578125" customWidth="1"/>
    <col min="12808" max="12808" width="11.42578125" customWidth="1"/>
    <col min="12809" max="12809" width="4.140625" customWidth="1"/>
    <col min="12810" max="12810" width="5" customWidth="1"/>
    <col min="12811" max="12811" width="9.28515625" customWidth="1"/>
    <col min="12812" max="12812" width="38" customWidth="1"/>
    <col min="12813" max="12813" width="9.42578125" customWidth="1"/>
    <col min="13057" max="13057" width="2.7109375" customWidth="1"/>
    <col min="13058" max="13058" width="37.85546875" customWidth="1"/>
    <col min="13059" max="13061" width="10.5703125" customWidth="1"/>
    <col min="13062" max="13062" width="23.7109375" customWidth="1"/>
    <col min="13063" max="13063" width="95.42578125" customWidth="1"/>
    <col min="13064" max="13064" width="11.42578125" customWidth="1"/>
    <col min="13065" max="13065" width="4.140625" customWidth="1"/>
    <col min="13066" max="13066" width="5" customWidth="1"/>
    <col min="13067" max="13067" width="9.28515625" customWidth="1"/>
    <col min="13068" max="13068" width="38" customWidth="1"/>
    <col min="13069" max="13069" width="9.42578125" customWidth="1"/>
    <col min="13313" max="13313" width="2.7109375" customWidth="1"/>
    <col min="13314" max="13314" width="37.85546875" customWidth="1"/>
    <col min="13315" max="13317" width="10.5703125" customWidth="1"/>
    <col min="13318" max="13318" width="23.7109375" customWidth="1"/>
    <col min="13319" max="13319" width="95.42578125" customWidth="1"/>
    <col min="13320" max="13320" width="11.42578125" customWidth="1"/>
    <col min="13321" max="13321" width="4.140625" customWidth="1"/>
    <col min="13322" max="13322" width="5" customWidth="1"/>
    <col min="13323" max="13323" width="9.28515625" customWidth="1"/>
    <col min="13324" max="13324" width="38" customWidth="1"/>
    <col min="13325" max="13325" width="9.42578125" customWidth="1"/>
    <col min="13569" max="13569" width="2.7109375" customWidth="1"/>
    <col min="13570" max="13570" width="37.85546875" customWidth="1"/>
    <col min="13571" max="13573" width="10.5703125" customWidth="1"/>
    <col min="13574" max="13574" width="23.7109375" customWidth="1"/>
    <col min="13575" max="13575" width="95.42578125" customWidth="1"/>
    <col min="13576" max="13576" width="11.42578125" customWidth="1"/>
    <col min="13577" max="13577" width="4.140625" customWidth="1"/>
    <col min="13578" max="13578" width="5" customWidth="1"/>
    <col min="13579" max="13579" width="9.28515625" customWidth="1"/>
    <col min="13580" max="13580" width="38" customWidth="1"/>
    <col min="13581" max="13581" width="9.42578125" customWidth="1"/>
    <col min="13825" max="13825" width="2.7109375" customWidth="1"/>
    <col min="13826" max="13826" width="37.85546875" customWidth="1"/>
    <col min="13827" max="13829" width="10.5703125" customWidth="1"/>
    <col min="13830" max="13830" width="23.7109375" customWidth="1"/>
    <col min="13831" max="13831" width="95.42578125" customWidth="1"/>
    <col min="13832" max="13832" width="11.42578125" customWidth="1"/>
    <col min="13833" max="13833" width="4.140625" customWidth="1"/>
    <col min="13834" max="13834" width="5" customWidth="1"/>
    <col min="13835" max="13835" width="9.28515625" customWidth="1"/>
    <col min="13836" max="13836" width="38" customWidth="1"/>
    <col min="13837" max="13837" width="9.42578125" customWidth="1"/>
    <col min="14081" max="14081" width="2.7109375" customWidth="1"/>
    <col min="14082" max="14082" width="37.85546875" customWidth="1"/>
    <col min="14083" max="14085" width="10.5703125" customWidth="1"/>
    <col min="14086" max="14086" width="23.7109375" customWidth="1"/>
    <col min="14087" max="14087" width="95.42578125" customWidth="1"/>
    <col min="14088" max="14088" width="11.42578125" customWidth="1"/>
    <col min="14089" max="14089" width="4.140625" customWidth="1"/>
    <col min="14090" max="14090" width="5" customWidth="1"/>
    <col min="14091" max="14091" width="9.28515625" customWidth="1"/>
    <col min="14092" max="14092" width="38" customWidth="1"/>
    <col min="14093" max="14093" width="9.42578125" customWidth="1"/>
    <col min="14337" max="14337" width="2.7109375" customWidth="1"/>
    <col min="14338" max="14338" width="37.85546875" customWidth="1"/>
    <col min="14339" max="14341" width="10.5703125" customWidth="1"/>
    <col min="14342" max="14342" width="23.7109375" customWidth="1"/>
    <col min="14343" max="14343" width="95.42578125" customWidth="1"/>
    <col min="14344" max="14344" width="11.42578125" customWidth="1"/>
    <col min="14345" max="14345" width="4.140625" customWidth="1"/>
    <col min="14346" max="14346" width="5" customWidth="1"/>
    <col min="14347" max="14347" width="9.28515625" customWidth="1"/>
    <col min="14348" max="14348" width="38" customWidth="1"/>
    <col min="14349" max="14349" width="9.42578125" customWidth="1"/>
    <col min="14593" max="14593" width="2.7109375" customWidth="1"/>
    <col min="14594" max="14594" width="37.85546875" customWidth="1"/>
    <col min="14595" max="14597" width="10.5703125" customWidth="1"/>
    <col min="14598" max="14598" width="23.7109375" customWidth="1"/>
    <col min="14599" max="14599" width="95.42578125" customWidth="1"/>
    <col min="14600" max="14600" width="11.42578125" customWidth="1"/>
    <col min="14601" max="14601" width="4.140625" customWidth="1"/>
    <col min="14602" max="14602" width="5" customWidth="1"/>
    <col min="14603" max="14603" width="9.28515625" customWidth="1"/>
    <col min="14604" max="14604" width="38" customWidth="1"/>
    <col min="14605" max="14605" width="9.42578125" customWidth="1"/>
    <col min="14849" max="14849" width="2.7109375" customWidth="1"/>
    <col min="14850" max="14850" width="37.85546875" customWidth="1"/>
    <col min="14851" max="14853" width="10.5703125" customWidth="1"/>
    <col min="14854" max="14854" width="23.7109375" customWidth="1"/>
    <col min="14855" max="14855" width="95.42578125" customWidth="1"/>
    <col min="14856" max="14856" width="11.42578125" customWidth="1"/>
    <col min="14857" max="14857" width="4.140625" customWidth="1"/>
    <col min="14858" max="14858" width="5" customWidth="1"/>
    <col min="14859" max="14859" width="9.28515625" customWidth="1"/>
    <col min="14860" max="14860" width="38" customWidth="1"/>
    <col min="14861" max="14861" width="9.42578125" customWidth="1"/>
    <col min="15105" max="15105" width="2.7109375" customWidth="1"/>
    <col min="15106" max="15106" width="37.85546875" customWidth="1"/>
    <col min="15107" max="15109" width="10.5703125" customWidth="1"/>
    <col min="15110" max="15110" width="23.7109375" customWidth="1"/>
    <col min="15111" max="15111" width="95.42578125" customWidth="1"/>
    <col min="15112" max="15112" width="11.42578125" customWidth="1"/>
    <col min="15113" max="15113" width="4.140625" customWidth="1"/>
    <col min="15114" max="15114" width="5" customWidth="1"/>
    <col min="15115" max="15115" width="9.28515625" customWidth="1"/>
    <col min="15116" max="15116" width="38" customWidth="1"/>
    <col min="15117" max="15117" width="9.42578125" customWidth="1"/>
    <col min="15361" max="15361" width="2.7109375" customWidth="1"/>
    <col min="15362" max="15362" width="37.85546875" customWidth="1"/>
    <col min="15363" max="15365" width="10.5703125" customWidth="1"/>
    <col min="15366" max="15366" width="23.7109375" customWidth="1"/>
    <col min="15367" max="15367" width="95.42578125" customWidth="1"/>
    <col min="15368" max="15368" width="11.42578125" customWidth="1"/>
    <col min="15369" max="15369" width="4.140625" customWidth="1"/>
    <col min="15370" max="15370" width="5" customWidth="1"/>
    <col min="15371" max="15371" width="9.28515625" customWidth="1"/>
    <col min="15372" max="15372" width="38" customWidth="1"/>
    <col min="15373" max="15373" width="9.42578125" customWidth="1"/>
    <col min="15617" max="15617" width="2.7109375" customWidth="1"/>
    <col min="15618" max="15618" width="37.85546875" customWidth="1"/>
    <col min="15619" max="15621" width="10.5703125" customWidth="1"/>
    <col min="15622" max="15622" width="23.7109375" customWidth="1"/>
    <col min="15623" max="15623" width="95.42578125" customWidth="1"/>
    <col min="15624" max="15624" width="11.42578125" customWidth="1"/>
    <col min="15625" max="15625" width="4.140625" customWidth="1"/>
    <col min="15626" max="15626" width="5" customWidth="1"/>
    <col min="15627" max="15627" width="9.28515625" customWidth="1"/>
    <col min="15628" max="15628" width="38" customWidth="1"/>
    <col min="15629" max="15629" width="9.42578125" customWidth="1"/>
    <col min="15873" max="15873" width="2.7109375" customWidth="1"/>
    <col min="15874" max="15874" width="37.85546875" customWidth="1"/>
    <col min="15875" max="15877" width="10.5703125" customWidth="1"/>
    <col min="15878" max="15878" width="23.7109375" customWidth="1"/>
    <col min="15879" max="15879" width="95.42578125" customWidth="1"/>
    <col min="15880" max="15880" width="11.42578125" customWidth="1"/>
    <col min="15881" max="15881" width="4.140625" customWidth="1"/>
    <col min="15882" max="15882" width="5" customWidth="1"/>
    <col min="15883" max="15883" width="9.28515625" customWidth="1"/>
    <col min="15884" max="15884" width="38" customWidth="1"/>
    <col min="15885" max="15885" width="9.42578125" customWidth="1"/>
    <col min="16129" max="16129" width="2.7109375" customWidth="1"/>
    <col min="16130" max="16130" width="37.85546875" customWidth="1"/>
    <col min="16131" max="16133" width="10.5703125" customWidth="1"/>
    <col min="16134" max="16134" width="23.7109375" customWidth="1"/>
    <col min="16135" max="16135" width="95.42578125" customWidth="1"/>
    <col min="16136" max="16136" width="11.42578125" customWidth="1"/>
    <col min="16137" max="16137" width="4.140625" customWidth="1"/>
    <col min="16138" max="16138" width="5" customWidth="1"/>
    <col min="16139" max="16139" width="9.28515625" customWidth="1"/>
    <col min="16140" max="16140" width="38" customWidth="1"/>
    <col min="16141" max="16141" width="9.42578125" customWidth="1"/>
  </cols>
  <sheetData>
    <row r="1" spans="1:13" ht="15.75" thickBot="1" x14ac:dyDescent="0.3"/>
    <row r="2" spans="1:13" ht="16.5" thickBot="1" x14ac:dyDescent="0.3">
      <c r="B2" s="6" t="s">
        <v>3</v>
      </c>
      <c r="C2" s="7" t="s">
        <v>4</v>
      </c>
      <c r="D2" s="691" t="s">
        <v>5</v>
      </c>
      <c r="E2" s="692"/>
      <c r="F2" s="693"/>
    </row>
    <row r="3" spans="1:13" ht="16.5" thickBot="1" x14ac:dyDescent="0.3">
      <c r="B3" s="6"/>
      <c r="C3" s="7" t="s">
        <v>6</v>
      </c>
      <c r="D3" s="691"/>
      <c r="E3" s="692"/>
      <c r="F3" s="693"/>
    </row>
    <row r="4" spans="1:13" x14ac:dyDescent="0.25">
      <c r="B4" s="8" t="s">
        <v>7</v>
      </c>
    </row>
    <row r="5" spans="1:13" x14ac:dyDescent="0.25">
      <c r="B5" s="9" t="s">
        <v>8</v>
      </c>
    </row>
    <row r="6" spans="1:13" ht="15.75" thickBot="1" x14ac:dyDescent="0.3">
      <c r="B6" s="9"/>
    </row>
    <row r="7" spans="1:13" x14ac:dyDescent="0.25">
      <c r="A7" s="10"/>
      <c r="C7" s="694" t="s">
        <v>9</v>
      </c>
      <c r="D7" s="695"/>
      <c r="E7" s="696" t="s">
        <v>10</v>
      </c>
      <c r="F7" s="697"/>
    </row>
    <row r="8" spans="1:13" ht="15.75" thickBot="1" x14ac:dyDescent="0.3">
      <c r="C8" s="11"/>
      <c r="D8" s="12"/>
      <c r="E8" s="13" t="s">
        <v>11</v>
      </c>
      <c r="F8" s="14" t="s">
        <v>12</v>
      </c>
      <c r="G8" s="15" t="s">
        <v>13</v>
      </c>
    </row>
    <row r="9" spans="1:13" ht="15.75" thickBot="1" x14ac:dyDescent="0.3">
      <c r="B9" s="16" t="s">
        <v>14</v>
      </c>
      <c r="C9" s="17"/>
      <c r="D9" s="18">
        <v>1950</v>
      </c>
      <c r="E9" s="19">
        <v>1950</v>
      </c>
      <c r="F9" s="20"/>
    </row>
    <row r="10" spans="1:13" ht="15.75" thickBot="1" x14ac:dyDescent="0.3">
      <c r="B10" s="21"/>
      <c r="C10" s="22"/>
      <c r="D10" s="23"/>
      <c r="E10" s="24"/>
      <c r="F10" s="25"/>
      <c r="L10" t="s">
        <v>15</v>
      </c>
    </row>
    <row r="11" spans="1:13" ht="15.75" thickBot="1" x14ac:dyDescent="0.3">
      <c r="B11" s="16" t="s">
        <v>16</v>
      </c>
      <c r="C11" s="26"/>
      <c r="D11" s="27"/>
      <c r="E11" s="28"/>
      <c r="F11" s="29"/>
    </row>
    <row r="12" spans="1:13" ht="15.75" thickBot="1" x14ac:dyDescent="0.3">
      <c r="B12" s="16" t="s">
        <v>17</v>
      </c>
      <c r="C12" s="30" t="s">
        <v>18</v>
      </c>
      <c r="D12" s="31" t="s">
        <v>19</v>
      </c>
      <c r="E12" s="32"/>
      <c r="F12" s="33"/>
      <c r="L12" t="s">
        <v>20</v>
      </c>
    </row>
    <row r="13" spans="1:13" x14ac:dyDescent="0.25">
      <c r="B13" s="34" t="str">
        <f>IF(Select2=1,"Food waste","Bulk MSW")</f>
        <v>Food waste</v>
      </c>
      <c r="C13" s="35" t="str">
        <f>INDEX(DOC_table,IF(Select2=1,1,9),2)</f>
        <v>0.08-0.20</v>
      </c>
      <c r="D13" s="36">
        <f>IF(Select2=1,INDEX(DOC_table,1,1),INDEX(Regional_data,Select3,12))</f>
        <v>0.15</v>
      </c>
      <c r="E13" s="37">
        <f>D13</f>
        <v>0.15</v>
      </c>
      <c r="F13" s="38"/>
      <c r="G13" s="39" t="str">
        <f>IF(Select2=1,"May include garden waste provided that a suitable value of DOC is used","")</f>
        <v>May include garden waste provided that a suitable value of DOC is used</v>
      </c>
      <c r="L13" s="40" t="s">
        <v>21</v>
      </c>
      <c r="M13" s="40">
        <f t="shared" ref="M13:M18" si="0">IF(Select2=1,E13,0)</f>
        <v>0.15</v>
      </c>
    </row>
    <row r="14" spans="1:13" x14ac:dyDescent="0.25">
      <c r="B14" s="34" t="str">
        <f>IF(Select2=1,"Garden","Industrial waste")</f>
        <v>Garden</v>
      </c>
      <c r="C14" s="35" t="str">
        <f>INDEX(DOC_table,IF(Select2=1,2,10),2)</f>
        <v>0.18-0.22</v>
      </c>
      <c r="D14" s="36">
        <f>INDEX(DOC_table,IF(Select2=1,2,10),1)</f>
        <v>0.2</v>
      </c>
      <c r="E14" s="41">
        <f t="shared" ref="E14:E21" si="1">D14</f>
        <v>0.2</v>
      </c>
      <c r="F14" s="42"/>
      <c r="G14" s="39" t="str">
        <f>IF(Select2=1,"Garden (yard) and park waste and other moderately fast degrading waste","The composition of industrial waste will vary significantly by country. This DOC value should match the amounts entered (see guidelines).")</f>
        <v>Garden (yard) and park waste and other moderately fast degrading waste</v>
      </c>
      <c r="L14" s="34" t="s">
        <v>22</v>
      </c>
      <c r="M14" s="43">
        <f>IF(Select2=1,E14,E50)</f>
        <v>0.2</v>
      </c>
    </row>
    <row r="15" spans="1:13" x14ac:dyDescent="0.25">
      <c r="B15" s="43" t="str">
        <f>IF(Select2=1,"Paper","Sewage sludge")</f>
        <v>Paper</v>
      </c>
      <c r="C15" s="35" t="str">
        <f>INDEX(DOC_table,IF(Select2=1,3,7),2)</f>
        <v>0.36-0.45</v>
      </c>
      <c r="D15" s="36">
        <f>INDEX(DOC_table,IF(Select2=1,3,7),1)</f>
        <v>0.4</v>
      </c>
      <c r="E15" s="41">
        <f t="shared" si="1"/>
        <v>0.4</v>
      </c>
      <c r="F15" s="42"/>
      <c r="G15" s="44"/>
      <c r="L15" s="43" t="s">
        <v>23</v>
      </c>
      <c r="M15" s="43">
        <f>IF(Select2=1,E15,E51)</f>
        <v>0.4</v>
      </c>
    </row>
    <row r="16" spans="1:13" x14ac:dyDescent="0.25">
      <c r="B16" s="43" t="str">
        <f>IF(Select2=1,"Wood and straw","")</f>
        <v>Wood and straw</v>
      </c>
      <c r="C16" s="45" t="str">
        <f>IF(Select2=1,INDEX(DOC_table,4,2),"")</f>
        <v>0.39-0.46</v>
      </c>
      <c r="D16" s="46">
        <f>IF(Select2=1,INDEX(DOC_table,4,1),"")</f>
        <v>0.43</v>
      </c>
      <c r="E16" s="41">
        <f>D16</f>
        <v>0.43</v>
      </c>
      <c r="F16" s="42"/>
      <c r="G16" s="44"/>
      <c r="L16" s="43" t="s">
        <v>24</v>
      </c>
      <c r="M16" s="43">
        <f>IF(Select2=1,E16,E52)</f>
        <v>0.43</v>
      </c>
    </row>
    <row r="17" spans="2:13" x14ac:dyDescent="0.25">
      <c r="B17" s="43" t="str">
        <f>IF(Select2=1,"Textiles","")</f>
        <v>Textiles</v>
      </c>
      <c r="C17" s="45" t="str">
        <f>IF(Select2=1,INDEX(DOC_table,5,2),"")</f>
        <v>0.20-0.40</v>
      </c>
      <c r="D17" s="46">
        <f>IF(Select2=1,INDEX(DOC_table,5,1),"")</f>
        <v>0.24</v>
      </c>
      <c r="E17" s="41">
        <f t="shared" si="1"/>
        <v>0.24</v>
      </c>
      <c r="F17" s="42"/>
      <c r="G17" s="39" t="str">
        <f>IF(Select2=1,"Natural textiles such as wool and cotton. The default DOC value assumes 40% of textiles are synthetic materials that do not contain DOC","")</f>
        <v>Natural textiles such as wool and cotton. The default DOC value assumes 40% of textiles are synthetic materials that do not contain DOC</v>
      </c>
      <c r="L17" s="43" t="s">
        <v>25</v>
      </c>
      <c r="M17" s="43">
        <f t="shared" si="0"/>
        <v>0.24</v>
      </c>
    </row>
    <row r="18" spans="2:13" x14ac:dyDescent="0.25">
      <c r="B18" s="47" t="str">
        <f>IF(Select2=1,"Disposable nappies","")</f>
        <v>Disposable nappies</v>
      </c>
      <c r="C18" s="48" t="str">
        <f>IF(Select2=1,INDEX(DOC_table,6,2),"")</f>
        <v>0.18-0.32</v>
      </c>
      <c r="D18" s="49">
        <f>IF(Select2=1,INDEX(DOC_table,6,1),"")</f>
        <v>0.24</v>
      </c>
      <c r="E18" s="41">
        <f t="shared" si="1"/>
        <v>0.24</v>
      </c>
      <c r="F18" s="42"/>
      <c r="G18" s="44"/>
      <c r="L18" s="47" t="s">
        <v>26</v>
      </c>
      <c r="M18" s="43">
        <f t="shared" si="0"/>
        <v>0.24</v>
      </c>
    </row>
    <row r="19" spans="2:13" x14ac:dyDescent="0.25">
      <c r="B19" s="47" t="str">
        <f>IF(Select2=1,"Sewage sludge","")</f>
        <v>Sewage sludge</v>
      </c>
      <c r="C19" s="48" t="str">
        <f>IF(Select2=1,INDEX(DOC_table,7,2),"")</f>
        <v>0.04-0.05</v>
      </c>
      <c r="D19" s="49">
        <f>IF(Select2=1,INDEX(DOC_table,7,1),"")</f>
        <v>0.05</v>
      </c>
      <c r="E19" s="41">
        <f t="shared" si="1"/>
        <v>0.05</v>
      </c>
      <c r="F19" s="42"/>
      <c r="G19" s="44"/>
      <c r="L19" s="47" t="s">
        <v>27</v>
      </c>
      <c r="M19" s="43">
        <f>IF(Select2=1,E19,E15)</f>
        <v>0.05</v>
      </c>
    </row>
    <row r="20" spans="2:13" x14ac:dyDescent="0.25">
      <c r="B20" s="47"/>
      <c r="C20" s="48"/>
      <c r="D20" s="50" t="s">
        <v>28</v>
      </c>
      <c r="E20" s="41" t="str">
        <f t="shared" si="1"/>
        <v/>
      </c>
      <c r="F20" s="42"/>
      <c r="G20" s="44"/>
      <c r="L20" s="47" t="s">
        <v>29</v>
      </c>
      <c r="M20" s="43">
        <f>IF(Select2=1,0,E13)</f>
        <v>0</v>
      </c>
    </row>
    <row r="21" spans="2:13" ht="15.75" thickBot="1" x14ac:dyDescent="0.3">
      <c r="B21" s="51" t="str">
        <f>IF(Select2=1,"Industrial waste","")</f>
        <v>Industrial waste</v>
      </c>
      <c r="C21" s="52" t="str">
        <f>IF(Select2=1,INDEX(DOC_table,10,2),"")</f>
        <v>0-0.54</v>
      </c>
      <c r="D21" s="53">
        <f>IF(Select2=1,INDEX(DOC_table,10,1),"")</f>
        <v>0.15</v>
      </c>
      <c r="E21" s="54">
        <f t="shared" si="1"/>
        <v>0.15</v>
      </c>
      <c r="F21" s="55"/>
      <c r="G21" s="56" t="str">
        <f>IF(Select2=1,"The composition of industrial waste will vary significantly by country. This DOC value should match the amounts entered (see Guidelines).","")</f>
        <v>The composition of industrial waste will vary significantly by country. This DOC value should match the amounts entered (see Guidelines).</v>
      </c>
      <c r="L21" s="51" t="s">
        <v>30</v>
      </c>
      <c r="M21" s="51">
        <f>IF(Select2=1,E21,E$14)</f>
        <v>0.15</v>
      </c>
    </row>
    <row r="22" spans="2:13" ht="15.75" thickBot="1" x14ac:dyDescent="0.3">
      <c r="B22" s="21"/>
      <c r="C22" s="57"/>
      <c r="D22" s="25"/>
      <c r="E22" s="44"/>
      <c r="F22" s="21"/>
      <c r="G22" s="44"/>
    </row>
    <row r="23" spans="2:13" ht="15.75" thickBot="1" x14ac:dyDescent="0.3">
      <c r="B23" s="16" t="s">
        <v>31</v>
      </c>
      <c r="C23" s="58"/>
      <c r="D23" s="59">
        <v>0.5</v>
      </c>
      <c r="E23" s="60">
        <f>D23</f>
        <v>0.5</v>
      </c>
      <c r="F23" s="61"/>
      <c r="G23" s="44"/>
    </row>
    <row r="24" spans="2:13" ht="15.75" thickBot="1" x14ac:dyDescent="0.3">
      <c r="B24" s="21"/>
      <c r="C24" s="22"/>
      <c r="D24" s="23"/>
      <c r="E24" s="62"/>
      <c r="F24" s="21"/>
      <c r="G24" s="44"/>
    </row>
    <row r="25" spans="2:13" ht="15.75" thickBot="1" x14ac:dyDescent="0.3">
      <c r="B25" s="16" t="s">
        <v>32</v>
      </c>
      <c r="C25" s="26"/>
      <c r="D25" s="27"/>
      <c r="E25" s="63"/>
      <c r="F25" s="64"/>
      <c r="G25" s="44"/>
    </row>
    <row r="26" spans="2:13" ht="15.75" thickBot="1" x14ac:dyDescent="0.3">
      <c r="B26" s="65" t="s">
        <v>33</v>
      </c>
      <c r="C26" s="66" t="s">
        <v>18</v>
      </c>
      <c r="D26" s="67" t="s">
        <v>19</v>
      </c>
      <c r="E26" s="68"/>
      <c r="F26" s="69"/>
      <c r="G26" s="44"/>
      <c r="L26" t="s">
        <v>34</v>
      </c>
    </row>
    <row r="27" spans="2:13" x14ac:dyDescent="0.25">
      <c r="B27" s="34" t="str">
        <f>IF(Select2=1,"Food waste","Bulk MSW")</f>
        <v>Food waste</v>
      </c>
      <c r="C27" s="70" t="str">
        <f>INDEX(half_life,IF(Select2=1,4,5),selected*2)</f>
        <v>0.1–0.2</v>
      </c>
      <c r="D27" s="71">
        <f>INDEX(half_life,IF(Select2=1,4,5),selected*2-1)</f>
        <v>0.185</v>
      </c>
      <c r="E27" s="72">
        <f t="shared" ref="E27:E35" si="2">D27</f>
        <v>0.185</v>
      </c>
      <c r="F27" s="38"/>
      <c r="G27" s="39" t="str">
        <f>IF(Select2=1,"May include garden waste provided that a suitable value of DOC is used","")</f>
        <v>May include garden waste provided that a suitable value of DOC is used</v>
      </c>
      <c r="L27" s="40" t="s">
        <v>21</v>
      </c>
      <c r="M27" s="40">
        <f t="shared" ref="M27:M32" si="3">IF(Select2=1,E27,E$27)</f>
        <v>0.185</v>
      </c>
    </row>
    <row r="28" spans="2:13" x14ac:dyDescent="0.25">
      <c r="B28" s="34" t="str">
        <f>IF(Select2=1,"Garden","Industrial waste")</f>
        <v>Garden</v>
      </c>
      <c r="C28" s="35" t="str">
        <f>INDEX(half_life,IF(Select2=1,3,5),selected*2)</f>
        <v>0.06–0.1</v>
      </c>
      <c r="D28" s="73">
        <f>INDEX(half_life,IF(Select2=1,3,5),selected*2-1)</f>
        <v>0.1</v>
      </c>
      <c r="E28" s="74">
        <f t="shared" si="2"/>
        <v>0.1</v>
      </c>
      <c r="F28" s="75"/>
      <c r="G28" s="39" t="str">
        <f>IF(Select2=1,"Garden (yard) and park waste and other moderately fast degrading waste","The composition of industrial waste will vary significantly by country. This DOC value should match the amounts entered (see guidelines).")</f>
        <v>Garden (yard) and park waste and other moderately fast degrading waste</v>
      </c>
      <c r="L28" s="34" t="s">
        <v>22</v>
      </c>
      <c r="M28" s="43">
        <f t="shared" si="3"/>
        <v>0.1</v>
      </c>
    </row>
    <row r="29" spans="2:13" x14ac:dyDescent="0.25">
      <c r="B29" s="43" t="str">
        <f>IF(Select2=1,"Paper","Sewage sludge")</f>
        <v>Paper</v>
      </c>
      <c r="C29" s="35" t="str">
        <f>INDEX(half_life,IF(Select2=1,1,4),selected*2)</f>
        <v>0.05–0.07</v>
      </c>
      <c r="D29" s="73">
        <f>INDEX(half_life,IF(Select2=1,1,4),selected*2-1)</f>
        <v>0.06</v>
      </c>
      <c r="E29" s="74">
        <f t="shared" si="2"/>
        <v>0.06</v>
      </c>
      <c r="F29" s="75"/>
      <c r="G29" s="44"/>
      <c r="L29" s="43" t="s">
        <v>23</v>
      </c>
      <c r="M29" s="43">
        <f t="shared" si="3"/>
        <v>0.06</v>
      </c>
    </row>
    <row r="30" spans="2:13" x14ac:dyDescent="0.25">
      <c r="B30" s="43" t="str">
        <f>IF(Select2=1,"Wood and straw","")</f>
        <v>Wood and straw</v>
      </c>
      <c r="C30" s="45" t="str">
        <f>IF(Select2=1,INDEX(half_life,2,selected*2),"")</f>
        <v>0.02–0.04</v>
      </c>
      <c r="D30" s="73">
        <f>IF(Select2=1,INDEX(half_life,2,selected*2-1),"")</f>
        <v>0.03</v>
      </c>
      <c r="E30" s="74">
        <f t="shared" si="2"/>
        <v>0.03</v>
      </c>
      <c r="F30" s="75"/>
      <c r="G30" s="44"/>
      <c r="L30" s="43" t="s">
        <v>24</v>
      </c>
      <c r="M30" s="43">
        <f t="shared" si="3"/>
        <v>0.03</v>
      </c>
    </row>
    <row r="31" spans="2:13" x14ac:dyDescent="0.25">
      <c r="B31" s="43" t="str">
        <f>IF(Select2=1,"Textiles","")</f>
        <v>Textiles</v>
      </c>
      <c r="C31" s="45" t="str">
        <f>IF(Select2=1,INDEX(half_life,1,selected*2),"")</f>
        <v>0.05–0.07</v>
      </c>
      <c r="D31" s="73">
        <f>IF(Select2=1,INDEX(half_life,1,selected*2-1),"")</f>
        <v>0.06</v>
      </c>
      <c r="E31" s="76">
        <f t="shared" si="2"/>
        <v>0.06</v>
      </c>
      <c r="F31" s="42"/>
      <c r="G31" s="39" t="str">
        <f>IF(Select2=1,"Natural textiles such as wool and cotton. Synthetic textiles are assumed not to contain DOC","")</f>
        <v>Natural textiles such as wool and cotton. Synthetic textiles are assumed not to contain DOC</v>
      </c>
      <c r="L31" s="43" t="s">
        <v>25</v>
      </c>
      <c r="M31" s="43">
        <f t="shared" si="3"/>
        <v>0.06</v>
      </c>
    </row>
    <row r="32" spans="2:13" x14ac:dyDescent="0.25">
      <c r="B32" s="47" t="str">
        <f>IF(Select2=1,"Disposable nappies","")</f>
        <v>Disposable nappies</v>
      </c>
      <c r="C32" s="45" t="str">
        <f>IF(Select2=1,INDEX(half_life,3,selected*2),"")</f>
        <v>0.06–0.1</v>
      </c>
      <c r="D32" s="73">
        <f>IF(Select2=1,INDEX(half_life,3,selected*2-1),"")</f>
        <v>0.1</v>
      </c>
      <c r="E32" s="76">
        <f t="shared" si="2"/>
        <v>0.1</v>
      </c>
      <c r="F32" s="42"/>
      <c r="L32" s="47" t="s">
        <v>26</v>
      </c>
      <c r="M32" s="43">
        <f t="shared" si="3"/>
        <v>0.1</v>
      </c>
    </row>
    <row r="33" spans="1:13" x14ac:dyDescent="0.25">
      <c r="B33" s="47" t="str">
        <f>IF(Select2=1,"Sewage sludge","")</f>
        <v>Sewage sludge</v>
      </c>
      <c r="C33" s="45" t="str">
        <f>IF(Select2=1,INDEX(half_life,4,selected*2),"")</f>
        <v>0.1–0.2</v>
      </c>
      <c r="D33" s="73">
        <f>IF(Select2=1,INDEX(half_life,4,selected*2-1),"")</f>
        <v>0.185</v>
      </c>
      <c r="E33" s="76">
        <f t="shared" si="2"/>
        <v>0.185</v>
      </c>
      <c r="F33" s="42"/>
      <c r="L33" s="47" t="s">
        <v>27</v>
      </c>
      <c r="M33" s="43">
        <f>IF(Select2=1,E33,E29)</f>
        <v>0.185</v>
      </c>
    </row>
    <row r="34" spans="1:13" x14ac:dyDescent="0.25">
      <c r="B34" s="47"/>
      <c r="C34" s="45"/>
      <c r="D34" s="77" t="s">
        <v>28</v>
      </c>
      <c r="E34" s="76" t="str">
        <f t="shared" si="2"/>
        <v/>
      </c>
      <c r="F34" s="42"/>
      <c r="L34" s="47" t="s">
        <v>29</v>
      </c>
      <c r="M34" s="43">
        <f>IF(Select2=1,E$35,E$27)</f>
        <v>0.09</v>
      </c>
    </row>
    <row r="35" spans="1:13" ht="15.75" thickBot="1" x14ac:dyDescent="0.3">
      <c r="B35" s="51" t="str">
        <f>IF(Select2=1,"Industrial waste","")</f>
        <v>Industrial waste</v>
      </c>
      <c r="C35" s="52" t="str">
        <f>IF(Select2=1,INDEX(half_life,5,selected*2),"")</f>
        <v>0.08–0.1</v>
      </c>
      <c r="D35" s="78">
        <f>IF(Select2=1,INDEX(half_life,5,selected*2-1),"")</f>
        <v>0.09</v>
      </c>
      <c r="E35" s="79">
        <f t="shared" si="2"/>
        <v>0.09</v>
      </c>
      <c r="F35" s="55"/>
      <c r="G35" s="56" t="str">
        <f>IF(Select2=1,"The composition of industrial waste will vary significantly by country. This DOC value should match the amounts entered (see Guidelines).","")</f>
        <v>The composition of industrial waste will vary significantly by country. This DOC value should match the amounts entered (see Guidelines).</v>
      </c>
      <c r="L35" s="51" t="s">
        <v>30</v>
      </c>
      <c r="M35" s="51">
        <f>IF(Select2=1,E35,E$28)</f>
        <v>0.09</v>
      </c>
    </row>
    <row r="36" spans="1:13" ht="15.75" thickBot="1" x14ac:dyDescent="0.3">
      <c r="B36" s="21"/>
      <c r="C36" s="57"/>
      <c r="D36" s="25"/>
      <c r="E36" s="80"/>
      <c r="F36" s="25"/>
    </row>
    <row r="37" spans="1:13" ht="15.75" thickBot="1" x14ac:dyDescent="0.3">
      <c r="B37" s="16" t="s">
        <v>35</v>
      </c>
      <c r="C37" s="81"/>
      <c r="D37" s="59">
        <v>6</v>
      </c>
      <c r="E37" s="82">
        <v>6</v>
      </c>
      <c r="F37" s="83"/>
    </row>
    <row r="38" spans="1:13" ht="15.75" thickBot="1" x14ac:dyDescent="0.3">
      <c r="B38" s="21"/>
      <c r="C38" s="57"/>
      <c r="D38" s="25"/>
      <c r="E38" s="84"/>
      <c r="F38" s="25"/>
    </row>
    <row r="39" spans="1:13" ht="15.75" thickBot="1" x14ac:dyDescent="0.3">
      <c r="B39" s="16" t="s">
        <v>36</v>
      </c>
      <c r="C39" s="81"/>
      <c r="D39" s="85">
        <v>0.5</v>
      </c>
      <c r="E39" s="82">
        <v>0.55000000000000004</v>
      </c>
      <c r="F39" s="83"/>
    </row>
    <row r="40" spans="1:13" ht="15.75" thickBot="1" x14ac:dyDescent="0.3">
      <c r="B40" s="21"/>
      <c r="C40" s="57"/>
      <c r="D40" s="25"/>
      <c r="E40" s="80"/>
      <c r="F40" s="25"/>
    </row>
    <row r="41" spans="1:13" ht="16.5" thickBot="1" x14ac:dyDescent="0.35">
      <c r="B41" s="16" t="s">
        <v>37</v>
      </c>
      <c r="C41" s="81"/>
      <c r="D41" s="86">
        <f>16/12</f>
        <v>1.3333333333333333</v>
      </c>
      <c r="E41" s="87">
        <f>16/12</f>
        <v>1.3333333333333333</v>
      </c>
      <c r="F41" s="88"/>
    </row>
    <row r="42" spans="1:13" ht="15.75" thickBot="1" x14ac:dyDescent="0.3">
      <c r="B42" s="21"/>
      <c r="C42" s="57"/>
      <c r="D42" s="25"/>
      <c r="E42" s="80"/>
      <c r="F42" s="25"/>
    </row>
    <row r="43" spans="1:13" ht="15.75" thickBot="1" x14ac:dyDescent="0.3">
      <c r="B43" s="16" t="s">
        <v>38</v>
      </c>
      <c r="C43" s="81"/>
      <c r="D43" s="85">
        <v>0</v>
      </c>
      <c r="E43" s="82">
        <v>0.1</v>
      </c>
      <c r="F43" s="83"/>
    </row>
    <row r="44" spans="1:13" ht="15.75" thickBot="1" x14ac:dyDescent="0.3">
      <c r="B44" s="89"/>
      <c r="C44" s="57"/>
      <c r="D44" s="90"/>
      <c r="E44" s="91"/>
      <c r="F44" s="25"/>
    </row>
    <row r="45" spans="1:13" ht="15.75" thickBot="1" x14ac:dyDescent="0.3">
      <c r="A45" s="92"/>
      <c r="B45" s="16" t="s">
        <v>39</v>
      </c>
      <c r="C45" s="81"/>
      <c r="D45" s="29"/>
      <c r="E45" s="93"/>
      <c r="F45" s="29"/>
      <c r="G45" s="92"/>
    </row>
    <row r="46" spans="1:13" x14ac:dyDescent="0.25">
      <c r="A46" s="92"/>
      <c r="B46" s="94" t="s">
        <v>40</v>
      </c>
      <c r="C46" s="95"/>
      <c r="D46" s="96">
        <v>0</v>
      </c>
      <c r="E46" s="97">
        <f>D46</f>
        <v>0</v>
      </c>
      <c r="F46" s="98"/>
      <c r="G46" s="92"/>
    </row>
    <row r="47" spans="1:13" ht="15.75" thickBot="1" x14ac:dyDescent="0.3">
      <c r="B47" s="99" t="s">
        <v>41</v>
      </c>
      <c r="C47" s="100"/>
      <c r="D47" s="101">
        <v>0</v>
      </c>
      <c r="E47" s="102">
        <f>D47</f>
        <v>0</v>
      </c>
      <c r="F47" s="103"/>
    </row>
    <row r="48" spans="1:13" ht="15.75" thickBot="1" x14ac:dyDescent="0.3">
      <c r="B48" s="104"/>
      <c r="C48" s="105"/>
      <c r="D48" s="106"/>
      <c r="E48" s="107"/>
      <c r="F48" s="108"/>
    </row>
    <row r="49" spans="1:14" s="92" customFormat="1" ht="27" thickBot="1" x14ac:dyDescent="0.3">
      <c r="A49"/>
      <c r="B49" s="109" t="s">
        <v>42</v>
      </c>
      <c r="C49" s="110"/>
      <c r="D49" s="111"/>
      <c r="E49" s="111"/>
      <c r="F49" s="33"/>
      <c r="G49"/>
      <c r="J49"/>
      <c r="K49"/>
      <c r="L49"/>
      <c r="M49"/>
      <c r="N49"/>
    </row>
    <row r="50" spans="1:14" s="92" customFormat="1" x14ac:dyDescent="0.25">
      <c r="A50"/>
      <c r="B50" s="112" t="str">
        <f>IF(Select2=1,"","DOC for garden waste")</f>
        <v/>
      </c>
      <c r="C50" s="95"/>
      <c r="D50" s="113" t="str">
        <f>IF(Select2=1,"",INDEX(DOC_table,2,1))</f>
        <v/>
      </c>
      <c r="E50" s="114" t="str">
        <f>D50</f>
        <v/>
      </c>
      <c r="F50" s="115"/>
      <c r="G50"/>
      <c r="J50"/>
      <c r="K50"/>
    </row>
    <row r="51" spans="1:14" x14ac:dyDescent="0.25">
      <c r="B51" s="116" t="str">
        <f>IF(Select2=1,"","DOC for paper and cardboard")</f>
        <v/>
      </c>
      <c r="C51" s="117"/>
      <c r="D51" s="118" t="str">
        <f>IF(Select2=1,"",INDEX(DOC_table,3,1))</f>
        <v/>
      </c>
      <c r="E51" s="119" t="str">
        <f>D51</f>
        <v/>
      </c>
      <c r="F51" s="120"/>
      <c r="J51" s="92"/>
      <c r="K51" s="92"/>
      <c r="L51" s="92"/>
      <c r="M51" s="92"/>
      <c r="N51" s="92"/>
    </row>
    <row r="52" spans="1:14" ht="15.75" thickBot="1" x14ac:dyDescent="0.3">
      <c r="B52" s="121" t="str">
        <f>IF(Select2=1,"","DOC for wood and straw")</f>
        <v/>
      </c>
      <c r="C52" s="122"/>
      <c r="D52" s="123" t="str">
        <f>IF(Select2=1,"",INDEX(DOC_table,4,1))</f>
        <v/>
      </c>
      <c r="E52" s="124" t="str">
        <f>D52</f>
        <v/>
      </c>
      <c r="F52" s="125"/>
      <c r="J52" s="92"/>
      <c r="K52" s="92"/>
    </row>
  </sheetData>
  <mergeCells count="4">
    <mergeCell ref="D2:F2"/>
    <mergeCell ref="D3:F3"/>
    <mergeCell ref="C7:D7"/>
    <mergeCell ref="E7:F7"/>
  </mergeCells>
  <conditionalFormatting sqref="G35 G17 G21 G13 G31 G27">
    <cfRule type="expression" dxfId="2" priority="1" stopIfTrue="1">
      <formula>IF(Select2=1,TRUE,FALSE)</formula>
    </cfRule>
  </conditionalFormatting>
  <conditionalFormatting sqref="G14 G28">
    <cfRule type="expression" dxfId="1" priority="2" stopIfTrue="1">
      <formula>IF(Select2=1,TRUE,FALSE)</formula>
    </cfRule>
    <cfRule type="expression" dxfId="0" priority="3" stopIfTrue="1">
      <formula>IF(Select2=2,TRUE,FALSE)</formula>
    </cfRule>
  </conditionalFormatting>
  <dataValidations count="5">
    <dataValidation type="decimal" allowBlank="1" showInputMessage="1" showErrorMessage="1" errorTitle="Error in DOCf" error="Please enter a number between 0 and 1" promptTitle="DOCf" prompt="Please enter the fraction of the DOC which will dissimilate in the SWD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0</formula1>
      <formula2>1</formula2>
    </dataValidation>
    <dataValidation type="decimal" allowBlank="1" showInputMessage="1" showErrorMessage="1" error="Please enter a number between 0 and 10000" sqref="E27:E35 JA27:JA35 SW27:SW35 ACS27:ACS35 AMO27:AMO35 AWK27:AWK35 BGG27:BGG35 BQC27:BQC35 BZY27:BZY35 CJU27:CJU35 CTQ27:CTQ35 DDM27:DDM35 DNI27:DNI35 DXE27:DXE35 EHA27:EHA35 EQW27:EQW35 FAS27:FAS35 FKO27:FKO35 FUK27:FUK35 GEG27:GEG35 GOC27:GOC35 GXY27:GXY35 HHU27:HHU35 HRQ27:HRQ35 IBM27:IBM35 ILI27:ILI35 IVE27:IVE35 JFA27:JFA35 JOW27:JOW35 JYS27:JYS35 KIO27:KIO35 KSK27:KSK35 LCG27:LCG35 LMC27:LMC35 LVY27:LVY35 MFU27:MFU35 MPQ27:MPQ35 MZM27:MZM35 NJI27:NJI35 NTE27:NTE35 ODA27:ODA35 OMW27:OMW35 OWS27:OWS35 PGO27:PGO35 PQK27:PQK35 QAG27:QAG35 QKC27:QKC35 QTY27:QTY35 RDU27:RDU35 RNQ27:RNQ35 RXM27:RXM35 SHI27:SHI35 SRE27:SRE35 TBA27:TBA35 TKW27:TKW35 TUS27:TUS35 UEO27:UEO35 UOK27:UOK35 UYG27:UYG35 VIC27:VIC35 VRY27:VRY35 WBU27:WBU35 WLQ27:WLQ35 WVM27:WVM35 E65563:E65571 JA65563:JA65571 SW65563:SW65571 ACS65563:ACS65571 AMO65563:AMO65571 AWK65563:AWK65571 BGG65563:BGG65571 BQC65563:BQC65571 BZY65563:BZY65571 CJU65563:CJU65571 CTQ65563:CTQ65571 DDM65563:DDM65571 DNI65563:DNI65571 DXE65563:DXE65571 EHA65563:EHA65571 EQW65563:EQW65571 FAS65563:FAS65571 FKO65563:FKO65571 FUK65563:FUK65571 GEG65563:GEG65571 GOC65563:GOC65571 GXY65563:GXY65571 HHU65563:HHU65571 HRQ65563:HRQ65571 IBM65563:IBM65571 ILI65563:ILI65571 IVE65563:IVE65571 JFA65563:JFA65571 JOW65563:JOW65571 JYS65563:JYS65571 KIO65563:KIO65571 KSK65563:KSK65571 LCG65563:LCG65571 LMC65563:LMC65571 LVY65563:LVY65571 MFU65563:MFU65571 MPQ65563:MPQ65571 MZM65563:MZM65571 NJI65563:NJI65571 NTE65563:NTE65571 ODA65563:ODA65571 OMW65563:OMW65571 OWS65563:OWS65571 PGO65563:PGO65571 PQK65563:PQK65571 QAG65563:QAG65571 QKC65563:QKC65571 QTY65563:QTY65571 RDU65563:RDU65571 RNQ65563:RNQ65571 RXM65563:RXM65571 SHI65563:SHI65571 SRE65563:SRE65571 TBA65563:TBA65571 TKW65563:TKW65571 TUS65563:TUS65571 UEO65563:UEO65571 UOK65563:UOK65571 UYG65563:UYG65571 VIC65563:VIC65571 VRY65563:VRY65571 WBU65563:WBU65571 WLQ65563:WLQ65571 WVM65563:WVM65571 E131099:E131107 JA131099:JA131107 SW131099:SW131107 ACS131099:ACS131107 AMO131099:AMO131107 AWK131099:AWK131107 BGG131099:BGG131107 BQC131099:BQC131107 BZY131099:BZY131107 CJU131099:CJU131107 CTQ131099:CTQ131107 DDM131099:DDM131107 DNI131099:DNI131107 DXE131099:DXE131107 EHA131099:EHA131107 EQW131099:EQW131107 FAS131099:FAS131107 FKO131099:FKO131107 FUK131099:FUK131107 GEG131099:GEG131107 GOC131099:GOC131107 GXY131099:GXY131107 HHU131099:HHU131107 HRQ131099:HRQ131107 IBM131099:IBM131107 ILI131099:ILI131107 IVE131099:IVE131107 JFA131099:JFA131107 JOW131099:JOW131107 JYS131099:JYS131107 KIO131099:KIO131107 KSK131099:KSK131107 LCG131099:LCG131107 LMC131099:LMC131107 LVY131099:LVY131107 MFU131099:MFU131107 MPQ131099:MPQ131107 MZM131099:MZM131107 NJI131099:NJI131107 NTE131099:NTE131107 ODA131099:ODA131107 OMW131099:OMW131107 OWS131099:OWS131107 PGO131099:PGO131107 PQK131099:PQK131107 QAG131099:QAG131107 QKC131099:QKC131107 QTY131099:QTY131107 RDU131099:RDU131107 RNQ131099:RNQ131107 RXM131099:RXM131107 SHI131099:SHI131107 SRE131099:SRE131107 TBA131099:TBA131107 TKW131099:TKW131107 TUS131099:TUS131107 UEO131099:UEO131107 UOK131099:UOK131107 UYG131099:UYG131107 VIC131099:VIC131107 VRY131099:VRY131107 WBU131099:WBU131107 WLQ131099:WLQ131107 WVM131099:WVM131107 E196635:E196643 JA196635:JA196643 SW196635:SW196643 ACS196635:ACS196643 AMO196635:AMO196643 AWK196635:AWK196643 BGG196635:BGG196643 BQC196635:BQC196643 BZY196635:BZY196643 CJU196635:CJU196643 CTQ196635:CTQ196643 DDM196635:DDM196643 DNI196635:DNI196643 DXE196635:DXE196643 EHA196635:EHA196643 EQW196635:EQW196643 FAS196635:FAS196643 FKO196635:FKO196643 FUK196635:FUK196643 GEG196635:GEG196643 GOC196635:GOC196643 GXY196635:GXY196643 HHU196635:HHU196643 HRQ196635:HRQ196643 IBM196635:IBM196643 ILI196635:ILI196643 IVE196635:IVE196643 JFA196635:JFA196643 JOW196635:JOW196643 JYS196635:JYS196643 KIO196635:KIO196643 KSK196635:KSK196643 LCG196635:LCG196643 LMC196635:LMC196643 LVY196635:LVY196643 MFU196635:MFU196643 MPQ196635:MPQ196643 MZM196635:MZM196643 NJI196635:NJI196643 NTE196635:NTE196643 ODA196635:ODA196643 OMW196635:OMW196643 OWS196635:OWS196643 PGO196635:PGO196643 PQK196635:PQK196643 QAG196635:QAG196643 QKC196635:QKC196643 QTY196635:QTY196643 RDU196635:RDU196643 RNQ196635:RNQ196643 RXM196635:RXM196643 SHI196635:SHI196643 SRE196635:SRE196643 TBA196635:TBA196643 TKW196635:TKW196643 TUS196635:TUS196643 UEO196635:UEO196643 UOK196635:UOK196643 UYG196635:UYG196643 VIC196635:VIC196643 VRY196635:VRY196643 WBU196635:WBU196643 WLQ196635:WLQ196643 WVM196635:WVM196643 E262171:E262179 JA262171:JA262179 SW262171:SW262179 ACS262171:ACS262179 AMO262171:AMO262179 AWK262171:AWK262179 BGG262171:BGG262179 BQC262171:BQC262179 BZY262171:BZY262179 CJU262171:CJU262179 CTQ262171:CTQ262179 DDM262171:DDM262179 DNI262171:DNI262179 DXE262171:DXE262179 EHA262171:EHA262179 EQW262171:EQW262179 FAS262171:FAS262179 FKO262171:FKO262179 FUK262171:FUK262179 GEG262171:GEG262179 GOC262171:GOC262179 GXY262171:GXY262179 HHU262171:HHU262179 HRQ262171:HRQ262179 IBM262171:IBM262179 ILI262171:ILI262179 IVE262171:IVE262179 JFA262171:JFA262179 JOW262171:JOW262179 JYS262171:JYS262179 KIO262171:KIO262179 KSK262171:KSK262179 LCG262171:LCG262179 LMC262171:LMC262179 LVY262171:LVY262179 MFU262171:MFU262179 MPQ262171:MPQ262179 MZM262171:MZM262179 NJI262171:NJI262179 NTE262171:NTE262179 ODA262171:ODA262179 OMW262171:OMW262179 OWS262171:OWS262179 PGO262171:PGO262179 PQK262171:PQK262179 QAG262171:QAG262179 QKC262171:QKC262179 QTY262171:QTY262179 RDU262171:RDU262179 RNQ262171:RNQ262179 RXM262171:RXM262179 SHI262171:SHI262179 SRE262171:SRE262179 TBA262171:TBA262179 TKW262171:TKW262179 TUS262171:TUS262179 UEO262171:UEO262179 UOK262171:UOK262179 UYG262171:UYG262179 VIC262171:VIC262179 VRY262171:VRY262179 WBU262171:WBU262179 WLQ262171:WLQ262179 WVM262171:WVM262179 E327707:E327715 JA327707:JA327715 SW327707:SW327715 ACS327707:ACS327715 AMO327707:AMO327715 AWK327707:AWK327715 BGG327707:BGG327715 BQC327707:BQC327715 BZY327707:BZY327715 CJU327707:CJU327715 CTQ327707:CTQ327715 DDM327707:DDM327715 DNI327707:DNI327715 DXE327707:DXE327715 EHA327707:EHA327715 EQW327707:EQW327715 FAS327707:FAS327715 FKO327707:FKO327715 FUK327707:FUK327715 GEG327707:GEG327715 GOC327707:GOC327715 GXY327707:GXY327715 HHU327707:HHU327715 HRQ327707:HRQ327715 IBM327707:IBM327715 ILI327707:ILI327715 IVE327707:IVE327715 JFA327707:JFA327715 JOW327707:JOW327715 JYS327707:JYS327715 KIO327707:KIO327715 KSK327707:KSK327715 LCG327707:LCG327715 LMC327707:LMC327715 LVY327707:LVY327715 MFU327707:MFU327715 MPQ327707:MPQ327715 MZM327707:MZM327715 NJI327707:NJI327715 NTE327707:NTE327715 ODA327707:ODA327715 OMW327707:OMW327715 OWS327707:OWS327715 PGO327707:PGO327715 PQK327707:PQK327715 QAG327707:QAG327715 QKC327707:QKC327715 QTY327707:QTY327715 RDU327707:RDU327715 RNQ327707:RNQ327715 RXM327707:RXM327715 SHI327707:SHI327715 SRE327707:SRE327715 TBA327707:TBA327715 TKW327707:TKW327715 TUS327707:TUS327715 UEO327707:UEO327715 UOK327707:UOK327715 UYG327707:UYG327715 VIC327707:VIC327715 VRY327707:VRY327715 WBU327707:WBU327715 WLQ327707:WLQ327715 WVM327707:WVM327715 E393243:E393251 JA393243:JA393251 SW393243:SW393251 ACS393243:ACS393251 AMO393243:AMO393251 AWK393243:AWK393251 BGG393243:BGG393251 BQC393243:BQC393251 BZY393243:BZY393251 CJU393243:CJU393251 CTQ393243:CTQ393251 DDM393243:DDM393251 DNI393243:DNI393251 DXE393243:DXE393251 EHA393243:EHA393251 EQW393243:EQW393251 FAS393243:FAS393251 FKO393243:FKO393251 FUK393243:FUK393251 GEG393243:GEG393251 GOC393243:GOC393251 GXY393243:GXY393251 HHU393243:HHU393251 HRQ393243:HRQ393251 IBM393243:IBM393251 ILI393243:ILI393251 IVE393243:IVE393251 JFA393243:JFA393251 JOW393243:JOW393251 JYS393243:JYS393251 KIO393243:KIO393251 KSK393243:KSK393251 LCG393243:LCG393251 LMC393243:LMC393251 LVY393243:LVY393251 MFU393243:MFU393251 MPQ393243:MPQ393251 MZM393243:MZM393251 NJI393243:NJI393251 NTE393243:NTE393251 ODA393243:ODA393251 OMW393243:OMW393251 OWS393243:OWS393251 PGO393243:PGO393251 PQK393243:PQK393251 QAG393243:QAG393251 QKC393243:QKC393251 QTY393243:QTY393251 RDU393243:RDU393251 RNQ393243:RNQ393251 RXM393243:RXM393251 SHI393243:SHI393251 SRE393243:SRE393251 TBA393243:TBA393251 TKW393243:TKW393251 TUS393243:TUS393251 UEO393243:UEO393251 UOK393243:UOK393251 UYG393243:UYG393251 VIC393243:VIC393251 VRY393243:VRY393251 WBU393243:WBU393251 WLQ393243:WLQ393251 WVM393243:WVM393251 E458779:E458787 JA458779:JA458787 SW458779:SW458787 ACS458779:ACS458787 AMO458779:AMO458787 AWK458779:AWK458787 BGG458779:BGG458787 BQC458779:BQC458787 BZY458779:BZY458787 CJU458779:CJU458787 CTQ458779:CTQ458787 DDM458779:DDM458787 DNI458779:DNI458787 DXE458779:DXE458787 EHA458779:EHA458787 EQW458779:EQW458787 FAS458779:FAS458787 FKO458779:FKO458787 FUK458779:FUK458787 GEG458779:GEG458787 GOC458779:GOC458787 GXY458779:GXY458787 HHU458779:HHU458787 HRQ458779:HRQ458787 IBM458779:IBM458787 ILI458779:ILI458787 IVE458779:IVE458787 JFA458779:JFA458787 JOW458779:JOW458787 JYS458779:JYS458787 KIO458779:KIO458787 KSK458779:KSK458787 LCG458779:LCG458787 LMC458779:LMC458787 LVY458779:LVY458787 MFU458779:MFU458787 MPQ458779:MPQ458787 MZM458779:MZM458787 NJI458779:NJI458787 NTE458779:NTE458787 ODA458779:ODA458787 OMW458779:OMW458787 OWS458779:OWS458787 PGO458779:PGO458787 PQK458779:PQK458787 QAG458779:QAG458787 QKC458779:QKC458787 QTY458779:QTY458787 RDU458779:RDU458787 RNQ458779:RNQ458787 RXM458779:RXM458787 SHI458779:SHI458787 SRE458779:SRE458787 TBA458779:TBA458787 TKW458779:TKW458787 TUS458779:TUS458787 UEO458779:UEO458787 UOK458779:UOK458787 UYG458779:UYG458787 VIC458779:VIC458787 VRY458779:VRY458787 WBU458779:WBU458787 WLQ458779:WLQ458787 WVM458779:WVM458787 E524315:E524323 JA524315:JA524323 SW524315:SW524323 ACS524315:ACS524323 AMO524315:AMO524323 AWK524315:AWK524323 BGG524315:BGG524323 BQC524315:BQC524323 BZY524315:BZY524323 CJU524315:CJU524323 CTQ524315:CTQ524323 DDM524315:DDM524323 DNI524315:DNI524323 DXE524315:DXE524323 EHA524315:EHA524323 EQW524315:EQW524323 FAS524315:FAS524323 FKO524315:FKO524323 FUK524315:FUK524323 GEG524315:GEG524323 GOC524315:GOC524323 GXY524315:GXY524323 HHU524315:HHU524323 HRQ524315:HRQ524323 IBM524315:IBM524323 ILI524315:ILI524323 IVE524315:IVE524323 JFA524315:JFA524323 JOW524315:JOW524323 JYS524315:JYS524323 KIO524315:KIO524323 KSK524315:KSK524323 LCG524315:LCG524323 LMC524315:LMC524323 LVY524315:LVY524323 MFU524315:MFU524323 MPQ524315:MPQ524323 MZM524315:MZM524323 NJI524315:NJI524323 NTE524315:NTE524323 ODA524315:ODA524323 OMW524315:OMW524323 OWS524315:OWS524323 PGO524315:PGO524323 PQK524315:PQK524323 QAG524315:QAG524323 QKC524315:QKC524323 QTY524315:QTY524323 RDU524315:RDU524323 RNQ524315:RNQ524323 RXM524315:RXM524323 SHI524315:SHI524323 SRE524315:SRE524323 TBA524315:TBA524323 TKW524315:TKW524323 TUS524315:TUS524323 UEO524315:UEO524323 UOK524315:UOK524323 UYG524315:UYG524323 VIC524315:VIC524323 VRY524315:VRY524323 WBU524315:WBU524323 WLQ524315:WLQ524323 WVM524315:WVM524323 E589851:E589859 JA589851:JA589859 SW589851:SW589859 ACS589851:ACS589859 AMO589851:AMO589859 AWK589851:AWK589859 BGG589851:BGG589859 BQC589851:BQC589859 BZY589851:BZY589859 CJU589851:CJU589859 CTQ589851:CTQ589859 DDM589851:DDM589859 DNI589851:DNI589859 DXE589851:DXE589859 EHA589851:EHA589859 EQW589851:EQW589859 FAS589851:FAS589859 FKO589851:FKO589859 FUK589851:FUK589859 GEG589851:GEG589859 GOC589851:GOC589859 GXY589851:GXY589859 HHU589851:HHU589859 HRQ589851:HRQ589859 IBM589851:IBM589859 ILI589851:ILI589859 IVE589851:IVE589859 JFA589851:JFA589859 JOW589851:JOW589859 JYS589851:JYS589859 KIO589851:KIO589859 KSK589851:KSK589859 LCG589851:LCG589859 LMC589851:LMC589859 LVY589851:LVY589859 MFU589851:MFU589859 MPQ589851:MPQ589859 MZM589851:MZM589859 NJI589851:NJI589859 NTE589851:NTE589859 ODA589851:ODA589859 OMW589851:OMW589859 OWS589851:OWS589859 PGO589851:PGO589859 PQK589851:PQK589859 QAG589851:QAG589859 QKC589851:QKC589859 QTY589851:QTY589859 RDU589851:RDU589859 RNQ589851:RNQ589859 RXM589851:RXM589859 SHI589851:SHI589859 SRE589851:SRE589859 TBA589851:TBA589859 TKW589851:TKW589859 TUS589851:TUS589859 UEO589851:UEO589859 UOK589851:UOK589859 UYG589851:UYG589859 VIC589851:VIC589859 VRY589851:VRY589859 WBU589851:WBU589859 WLQ589851:WLQ589859 WVM589851:WVM589859 E655387:E655395 JA655387:JA655395 SW655387:SW655395 ACS655387:ACS655395 AMO655387:AMO655395 AWK655387:AWK655395 BGG655387:BGG655395 BQC655387:BQC655395 BZY655387:BZY655395 CJU655387:CJU655395 CTQ655387:CTQ655395 DDM655387:DDM655395 DNI655387:DNI655395 DXE655387:DXE655395 EHA655387:EHA655395 EQW655387:EQW655395 FAS655387:FAS655395 FKO655387:FKO655395 FUK655387:FUK655395 GEG655387:GEG655395 GOC655387:GOC655395 GXY655387:GXY655395 HHU655387:HHU655395 HRQ655387:HRQ655395 IBM655387:IBM655395 ILI655387:ILI655395 IVE655387:IVE655395 JFA655387:JFA655395 JOW655387:JOW655395 JYS655387:JYS655395 KIO655387:KIO655395 KSK655387:KSK655395 LCG655387:LCG655395 LMC655387:LMC655395 LVY655387:LVY655395 MFU655387:MFU655395 MPQ655387:MPQ655395 MZM655387:MZM655395 NJI655387:NJI655395 NTE655387:NTE655395 ODA655387:ODA655395 OMW655387:OMW655395 OWS655387:OWS655395 PGO655387:PGO655395 PQK655387:PQK655395 QAG655387:QAG655395 QKC655387:QKC655395 QTY655387:QTY655395 RDU655387:RDU655395 RNQ655387:RNQ655395 RXM655387:RXM655395 SHI655387:SHI655395 SRE655387:SRE655395 TBA655387:TBA655395 TKW655387:TKW655395 TUS655387:TUS655395 UEO655387:UEO655395 UOK655387:UOK655395 UYG655387:UYG655395 VIC655387:VIC655395 VRY655387:VRY655395 WBU655387:WBU655395 WLQ655387:WLQ655395 WVM655387:WVM655395 E720923:E720931 JA720923:JA720931 SW720923:SW720931 ACS720923:ACS720931 AMO720923:AMO720931 AWK720923:AWK720931 BGG720923:BGG720931 BQC720923:BQC720931 BZY720923:BZY720931 CJU720923:CJU720931 CTQ720923:CTQ720931 DDM720923:DDM720931 DNI720923:DNI720931 DXE720923:DXE720931 EHA720923:EHA720931 EQW720923:EQW720931 FAS720923:FAS720931 FKO720923:FKO720931 FUK720923:FUK720931 GEG720923:GEG720931 GOC720923:GOC720931 GXY720923:GXY720931 HHU720923:HHU720931 HRQ720923:HRQ720931 IBM720923:IBM720931 ILI720923:ILI720931 IVE720923:IVE720931 JFA720923:JFA720931 JOW720923:JOW720931 JYS720923:JYS720931 KIO720923:KIO720931 KSK720923:KSK720931 LCG720923:LCG720931 LMC720923:LMC720931 LVY720923:LVY720931 MFU720923:MFU720931 MPQ720923:MPQ720931 MZM720923:MZM720931 NJI720923:NJI720931 NTE720923:NTE720931 ODA720923:ODA720931 OMW720923:OMW720931 OWS720923:OWS720931 PGO720923:PGO720931 PQK720923:PQK720931 QAG720923:QAG720931 QKC720923:QKC720931 QTY720923:QTY720931 RDU720923:RDU720931 RNQ720923:RNQ720931 RXM720923:RXM720931 SHI720923:SHI720931 SRE720923:SRE720931 TBA720923:TBA720931 TKW720923:TKW720931 TUS720923:TUS720931 UEO720923:UEO720931 UOK720923:UOK720931 UYG720923:UYG720931 VIC720923:VIC720931 VRY720923:VRY720931 WBU720923:WBU720931 WLQ720923:WLQ720931 WVM720923:WVM720931 E786459:E786467 JA786459:JA786467 SW786459:SW786467 ACS786459:ACS786467 AMO786459:AMO786467 AWK786459:AWK786467 BGG786459:BGG786467 BQC786459:BQC786467 BZY786459:BZY786467 CJU786459:CJU786467 CTQ786459:CTQ786467 DDM786459:DDM786467 DNI786459:DNI786467 DXE786459:DXE786467 EHA786459:EHA786467 EQW786459:EQW786467 FAS786459:FAS786467 FKO786459:FKO786467 FUK786459:FUK786467 GEG786459:GEG786467 GOC786459:GOC786467 GXY786459:GXY786467 HHU786459:HHU786467 HRQ786459:HRQ786467 IBM786459:IBM786467 ILI786459:ILI786467 IVE786459:IVE786467 JFA786459:JFA786467 JOW786459:JOW786467 JYS786459:JYS786467 KIO786459:KIO786467 KSK786459:KSK786467 LCG786459:LCG786467 LMC786459:LMC786467 LVY786459:LVY786467 MFU786459:MFU786467 MPQ786459:MPQ786467 MZM786459:MZM786467 NJI786459:NJI786467 NTE786459:NTE786467 ODA786459:ODA786467 OMW786459:OMW786467 OWS786459:OWS786467 PGO786459:PGO786467 PQK786459:PQK786467 QAG786459:QAG786467 QKC786459:QKC786467 QTY786459:QTY786467 RDU786459:RDU786467 RNQ786459:RNQ786467 RXM786459:RXM786467 SHI786459:SHI786467 SRE786459:SRE786467 TBA786459:TBA786467 TKW786459:TKW786467 TUS786459:TUS786467 UEO786459:UEO786467 UOK786459:UOK786467 UYG786459:UYG786467 VIC786459:VIC786467 VRY786459:VRY786467 WBU786459:WBU786467 WLQ786459:WLQ786467 WVM786459:WVM786467 E851995:E852003 JA851995:JA852003 SW851995:SW852003 ACS851995:ACS852003 AMO851995:AMO852003 AWK851995:AWK852003 BGG851995:BGG852003 BQC851995:BQC852003 BZY851995:BZY852003 CJU851995:CJU852003 CTQ851995:CTQ852003 DDM851995:DDM852003 DNI851995:DNI852003 DXE851995:DXE852003 EHA851995:EHA852003 EQW851995:EQW852003 FAS851995:FAS852003 FKO851995:FKO852003 FUK851995:FUK852003 GEG851995:GEG852003 GOC851995:GOC852003 GXY851995:GXY852003 HHU851995:HHU852003 HRQ851995:HRQ852003 IBM851995:IBM852003 ILI851995:ILI852003 IVE851995:IVE852003 JFA851995:JFA852003 JOW851995:JOW852003 JYS851995:JYS852003 KIO851995:KIO852003 KSK851995:KSK852003 LCG851995:LCG852003 LMC851995:LMC852003 LVY851995:LVY852003 MFU851995:MFU852003 MPQ851995:MPQ852003 MZM851995:MZM852003 NJI851995:NJI852003 NTE851995:NTE852003 ODA851995:ODA852003 OMW851995:OMW852003 OWS851995:OWS852003 PGO851995:PGO852003 PQK851995:PQK852003 QAG851995:QAG852003 QKC851995:QKC852003 QTY851995:QTY852003 RDU851995:RDU852003 RNQ851995:RNQ852003 RXM851995:RXM852003 SHI851995:SHI852003 SRE851995:SRE852003 TBA851995:TBA852003 TKW851995:TKW852003 TUS851995:TUS852003 UEO851995:UEO852003 UOK851995:UOK852003 UYG851995:UYG852003 VIC851995:VIC852003 VRY851995:VRY852003 WBU851995:WBU852003 WLQ851995:WLQ852003 WVM851995:WVM852003 E917531:E917539 JA917531:JA917539 SW917531:SW917539 ACS917531:ACS917539 AMO917531:AMO917539 AWK917531:AWK917539 BGG917531:BGG917539 BQC917531:BQC917539 BZY917531:BZY917539 CJU917531:CJU917539 CTQ917531:CTQ917539 DDM917531:DDM917539 DNI917531:DNI917539 DXE917531:DXE917539 EHA917531:EHA917539 EQW917531:EQW917539 FAS917531:FAS917539 FKO917531:FKO917539 FUK917531:FUK917539 GEG917531:GEG917539 GOC917531:GOC917539 GXY917531:GXY917539 HHU917531:HHU917539 HRQ917531:HRQ917539 IBM917531:IBM917539 ILI917531:ILI917539 IVE917531:IVE917539 JFA917531:JFA917539 JOW917531:JOW917539 JYS917531:JYS917539 KIO917531:KIO917539 KSK917531:KSK917539 LCG917531:LCG917539 LMC917531:LMC917539 LVY917531:LVY917539 MFU917531:MFU917539 MPQ917531:MPQ917539 MZM917531:MZM917539 NJI917531:NJI917539 NTE917531:NTE917539 ODA917531:ODA917539 OMW917531:OMW917539 OWS917531:OWS917539 PGO917531:PGO917539 PQK917531:PQK917539 QAG917531:QAG917539 QKC917531:QKC917539 QTY917531:QTY917539 RDU917531:RDU917539 RNQ917531:RNQ917539 RXM917531:RXM917539 SHI917531:SHI917539 SRE917531:SRE917539 TBA917531:TBA917539 TKW917531:TKW917539 TUS917531:TUS917539 UEO917531:UEO917539 UOK917531:UOK917539 UYG917531:UYG917539 VIC917531:VIC917539 VRY917531:VRY917539 WBU917531:WBU917539 WLQ917531:WLQ917539 WVM917531:WVM917539 E983067:E983075 JA983067:JA983075 SW983067:SW983075 ACS983067:ACS983075 AMO983067:AMO983075 AWK983067:AWK983075 BGG983067:BGG983075 BQC983067:BQC983075 BZY983067:BZY983075 CJU983067:CJU983075 CTQ983067:CTQ983075 DDM983067:DDM983075 DNI983067:DNI983075 DXE983067:DXE983075 EHA983067:EHA983075 EQW983067:EQW983075 FAS983067:FAS983075 FKO983067:FKO983075 FUK983067:FUK983075 GEG983067:GEG983075 GOC983067:GOC983075 GXY983067:GXY983075 HHU983067:HHU983075 HRQ983067:HRQ983075 IBM983067:IBM983075 ILI983067:ILI983075 IVE983067:IVE983075 JFA983067:JFA983075 JOW983067:JOW983075 JYS983067:JYS983075 KIO983067:KIO983075 KSK983067:KSK983075 LCG983067:LCG983075 LMC983067:LMC983075 LVY983067:LVY983075 MFU983067:MFU983075 MPQ983067:MPQ983075 MZM983067:MZM983075 NJI983067:NJI983075 NTE983067:NTE983075 ODA983067:ODA983075 OMW983067:OMW983075 OWS983067:OWS983075 PGO983067:PGO983075 PQK983067:PQK983075 QAG983067:QAG983075 QKC983067:QKC983075 QTY983067:QTY983075 RDU983067:RDU983075 RNQ983067:RNQ983075 RXM983067:RXM983075 SHI983067:SHI983075 SRE983067:SRE983075 TBA983067:TBA983075 TKW983067:TKW983075 TUS983067:TUS983075 UEO983067:UEO983075 UOK983067:UOK983075 UYG983067:UYG983075 VIC983067:VIC983075 VRY983067:VRY983075 WBU983067:WBU983075 WLQ983067:WLQ983075 WVM983067:WVM983075">
      <formula1>0</formula1>
      <formula2>10000</formula2>
    </dataValidation>
    <dataValidation type="decimal" allowBlank="1" showInputMessage="1" showErrorMessage="1" errorTitle="Error in DOC" error="Please enter a number between 0 and 1" promptTitle="DOC" prompt="Please enter the fraction of the waste by weight which is degradable organic carbon" sqref="E13:E21 JA13:JA21 SW13:SW21 ACS13:ACS21 AMO13:AMO21 AWK13:AWK21 BGG13:BGG21 BQC13:BQC21 BZY13:BZY21 CJU13:CJU21 CTQ13:CTQ21 DDM13:DDM21 DNI13:DNI21 DXE13:DXE21 EHA13:EHA21 EQW13:EQW21 FAS13:FAS21 FKO13:FKO21 FUK13:FUK21 GEG13:GEG21 GOC13:GOC21 GXY13:GXY21 HHU13:HHU21 HRQ13:HRQ21 IBM13:IBM21 ILI13:ILI21 IVE13:IVE21 JFA13:JFA21 JOW13:JOW21 JYS13:JYS21 KIO13:KIO21 KSK13:KSK21 LCG13:LCG21 LMC13:LMC21 LVY13:LVY21 MFU13:MFU21 MPQ13:MPQ21 MZM13:MZM21 NJI13:NJI21 NTE13:NTE21 ODA13:ODA21 OMW13:OMW21 OWS13:OWS21 PGO13:PGO21 PQK13:PQK21 QAG13:QAG21 QKC13:QKC21 QTY13:QTY21 RDU13:RDU21 RNQ13:RNQ21 RXM13:RXM21 SHI13:SHI21 SRE13:SRE21 TBA13:TBA21 TKW13:TKW21 TUS13:TUS21 UEO13:UEO21 UOK13:UOK21 UYG13:UYG21 VIC13:VIC21 VRY13:VRY21 WBU13:WBU21 WLQ13:WLQ21 WVM13:WVM21 E65549:E65557 JA65549:JA65557 SW65549:SW65557 ACS65549:ACS65557 AMO65549:AMO65557 AWK65549:AWK65557 BGG65549:BGG65557 BQC65549:BQC65557 BZY65549:BZY65557 CJU65549:CJU65557 CTQ65549:CTQ65557 DDM65549:DDM65557 DNI65549:DNI65557 DXE65549:DXE65557 EHA65549:EHA65557 EQW65549:EQW65557 FAS65549:FAS65557 FKO65549:FKO65557 FUK65549:FUK65557 GEG65549:GEG65557 GOC65549:GOC65557 GXY65549:GXY65557 HHU65549:HHU65557 HRQ65549:HRQ65557 IBM65549:IBM65557 ILI65549:ILI65557 IVE65549:IVE65557 JFA65549:JFA65557 JOW65549:JOW65557 JYS65549:JYS65557 KIO65549:KIO65557 KSK65549:KSK65557 LCG65549:LCG65557 LMC65549:LMC65557 LVY65549:LVY65557 MFU65549:MFU65557 MPQ65549:MPQ65557 MZM65549:MZM65557 NJI65549:NJI65557 NTE65549:NTE65557 ODA65549:ODA65557 OMW65549:OMW65557 OWS65549:OWS65557 PGO65549:PGO65557 PQK65549:PQK65557 QAG65549:QAG65557 QKC65549:QKC65557 QTY65549:QTY65557 RDU65549:RDU65557 RNQ65549:RNQ65557 RXM65549:RXM65557 SHI65549:SHI65557 SRE65549:SRE65557 TBA65549:TBA65557 TKW65549:TKW65557 TUS65549:TUS65557 UEO65549:UEO65557 UOK65549:UOK65557 UYG65549:UYG65557 VIC65549:VIC65557 VRY65549:VRY65557 WBU65549:WBU65557 WLQ65549:WLQ65557 WVM65549:WVM65557 E131085:E131093 JA131085:JA131093 SW131085:SW131093 ACS131085:ACS131093 AMO131085:AMO131093 AWK131085:AWK131093 BGG131085:BGG131093 BQC131085:BQC131093 BZY131085:BZY131093 CJU131085:CJU131093 CTQ131085:CTQ131093 DDM131085:DDM131093 DNI131085:DNI131093 DXE131085:DXE131093 EHA131085:EHA131093 EQW131085:EQW131093 FAS131085:FAS131093 FKO131085:FKO131093 FUK131085:FUK131093 GEG131085:GEG131093 GOC131085:GOC131093 GXY131085:GXY131093 HHU131085:HHU131093 HRQ131085:HRQ131093 IBM131085:IBM131093 ILI131085:ILI131093 IVE131085:IVE131093 JFA131085:JFA131093 JOW131085:JOW131093 JYS131085:JYS131093 KIO131085:KIO131093 KSK131085:KSK131093 LCG131085:LCG131093 LMC131085:LMC131093 LVY131085:LVY131093 MFU131085:MFU131093 MPQ131085:MPQ131093 MZM131085:MZM131093 NJI131085:NJI131093 NTE131085:NTE131093 ODA131085:ODA131093 OMW131085:OMW131093 OWS131085:OWS131093 PGO131085:PGO131093 PQK131085:PQK131093 QAG131085:QAG131093 QKC131085:QKC131093 QTY131085:QTY131093 RDU131085:RDU131093 RNQ131085:RNQ131093 RXM131085:RXM131093 SHI131085:SHI131093 SRE131085:SRE131093 TBA131085:TBA131093 TKW131085:TKW131093 TUS131085:TUS131093 UEO131085:UEO131093 UOK131085:UOK131093 UYG131085:UYG131093 VIC131085:VIC131093 VRY131085:VRY131093 WBU131085:WBU131093 WLQ131085:WLQ131093 WVM131085:WVM131093 E196621:E196629 JA196621:JA196629 SW196621:SW196629 ACS196621:ACS196629 AMO196621:AMO196629 AWK196621:AWK196629 BGG196621:BGG196629 BQC196621:BQC196629 BZY196621:BZY196629 CJU196621:CJU196629 CTQ196621:CTQ196629 DDM196621:DDM196629 DNI196621:DNI196629 DXE196621:DXE196629 EHA196621:EHA196629 EQW196621:EQW196629 FAS196621:FAS196629 FKO196621:FKO196629 FUK196621:FUK196629 GEG196621:GEG196629 GOC196621:GOC196629 GXY196621:GXY196629 HHU196621:HHU196629 HRQ196621:HRQ196629 IBM196621:IBM196629 ILI196621:ILI196629 IVE196621:IVE196629 JFA196621:JFA196629 JOW196621:JOW196629 JYS196621:JYS196629 KIO196621:KIO196629 KSK196621:KSK196629 LCG196621:LCG196629 LMC196621:LMC196629 LVY196621:LVY196629 MFU196621:MFU196629 MPQ196621:MPQ196629 MZM196621:MZM196629 NJI196621:NJI196629 NTE196621:NTE196629 ODA196621:ODA196629 OMW196621:OMW196629 OWS196621:OWS196629 PGO196621:PGO196629 PQK196621:PQK196629 QAG196621:QAG196629 QKC196621:QKC196629 QTY196621:QTY196629 RDU196621:RDU196629 RNQ196621:RNQ196629 RXM196621:RXM196629 SHI196621:SHI196629 SRE196621:SRE196629 TBA196621:TBA196629 TKW196621:TKW196629 TUS196621:TUS196629 UEO196621:UEO196629 UOK196621:UOK196629 UYG196621:UYG196629 VIC196621:VIC196629 VRY196621:VRY196629 WBU196621:WBU196629 WLQ196621:WLQ196629 WVM196621:WVM196629 E262157:E262165 JA262157:JA262165 SW262157:SW262165 ACS262157:ACS262165 AMO262157:AMO262165 AWK262157:AWK262165 BGG262157:BGG262165 BQC262157:BQC262165 BZY262157:BZY262165 CJU262157:CJU262165 CTQ262157:CTQ262165 DDM262157:DDM262165 DNI262157:DNI262165 DXE262157:DXE262165 EHA262157:EHA262165 EQW262157:EQW262165 FAS262157:FAS262165 FKO262157:FKO262165 FUK262157:FUK262165 GEG262157:GEG262165 GOC262157:GOC262165 GXY262157:GXY262165 HHU262157:HHU262165 HRQ262157:HRQ262165 IBM262157:IBM262165 ILI262157:ILI262165 IVE262157:IVE262165 JFA262157:JFA262165 JOW262157:JOW262165 JYS262157:JYS262165 KIO262157:KIO262165 KSK262157:KSK262165 LCG262157:LCG262165 LMC262157:LMC262165 LVY262157:LVY262165 MFU262157:MFU262165 MPQ262157:MPQ262165 MZM262157:MZM262165 NJI262157:NJI262165 NTE262157:NTE262165 ODA262157:ODA262165 OMW262157:OMW262165 OWS262157:OWS262165 PGO262157:PGO262165 PQK262157:PQK262165 QAG262157:QAG262165 QKC262157:QKC262165 QTY262157:QTY262165 RDU262157:RDU262165 RNQ262157:RNQ262165 RXM262157:RXM262165 SHI262157:SHI262165 SRE262157:SRE262165 TBA262157:TBA262165 TKW262157:TKW262165 TUS262157:TUS262165 UEO262157:UEO262165 UOK262157:UOK262165 UYG262157:UYG262165 VIC262157:VIC262165 VRY262157:VRY262165 WBU262157:WBU262165 WLQ262157:WLQ262165 WVM262157:WVM262165 E327693:E327701 JA327693:JA327701 SW327693:SW327701 ACS327693:ACS327701 AMO327693:AMO327701 AWK327693:AWK327701 BGG327693:BGG327701 BQC327693:BQC327701 BZY327693:BZY327701 CJU327693:CJU327701 CTQ327693:CTQ327701 DDM327693:DDM327701 DNI327693:DNI327701 DXE327693:DXE327701 EHA327693:EHA327701 EQW327693:EQW327701 FAS327693:FAS327701 FKO327693:FKO327701 FUK327693:FUK327701 GEG327693:GEG327701 GOC327693:GOC327701 GXY327693:GXY327701 HHU327693:HHU327701 HRQ327693:HRQ327701 IBM327693:IBM327701 ILI327693:ILI327701 IVE327693:IVE327701 JFA327693:JFA327701 JOW327693:JOW327701 JYS327693:JYS327701 KIO327693:KIO327701 KSK327693:KSK327701 LCG327693:LCG327701 LMC327693:LMC327701 LVY327693:LVY327701 MFU327693:MFU327701 MPQ327693:MPQ327701 MZM327693:MZM327701 NJI327693:NJI327701 NTE327693:NTE327701 ODA327693:ODA327701 OMW327693:OMW327701 OWS327693:OWS327701 PGO327693:PGO327701 PQK327693:PQK327701 QAG327693:QAG327701 QKC327693:QKC327701 QTY327693:QTY327701 RDU327693:RDU327701 RNQ327693:RNQ327701 RXM327693:RXM327701 SHI327693:SHI327701 SRE327693:SRE327701 TBA327693:TBA327701 TKW327693:TKW327701 TUS327693:TUS327701 UEO327693:UEO327701 UOK327693:UOK327701 UYG327693:UYG327701 VIC327693:VIC327701 VRY327693:VRY327701 WBU327693:WBU327701 WLQ327693:WLQ327701 WVM327693:WVM327701 E393229:E393237 JA393229:JA393237 SW393229:SW393237 ACS393229:ACS393237 AMO393229:AMO393237 AWK393229:AWK393237 BGG393229:BGG393237 BQC393229:BQC393237 BZY393229:BZY393237 CJU393229:CJU393237 CTQ393229:CTQ393237 DDM393229:DDM393237 DNI393229:DNI393237 DXE393229:DXE393237 EHA393229:EHA393237 EQW393229:EQW393237 FAS393229:FAS393237 FKO393229:FKO393237 FUK393229:FUK393237 GEG393229:GEG393237 GOC393229:GOC393237 GXY393229:GXY393237 HHU393229:HHU393237 HRQ393229:HRQ393237 IBM393229:IBM393237 ILI393229:ILI393237 IVE393229:IVE393237 JFA393229:JFA393237 JOW393229:JOW393237 JYS393229:JYS393237 KIO393229:KIO393237 KSK393229:KSK393237 LCG393229:LCG393237 LMC393229:LMC393237 LVY393229:LVY393237 MFU393229:MFU393237 MPQ393229:MPQ393237 MZM393229:MZM393237 NJI393229:NJI393237 NTE393229:NTE393237 ODA393229:ODA393237 OMW393229:OMW393237 OWS393229:OWS393237 PGO393229:PGO393237 PQK393229:PQK393237 QAG393229:QAG393237 QKC393229:QKC393237 QTY393229:QTY393237 RDU393229:RDU393237 RNQ393229:RNQ393237 RXM393229:RXM393237 SHI393229:SHI393237 SRE393229:SRE393237 TBA393229:TBA393237 TKW393229:TKW393237 TUS393229:TUS393237 UEO393229:UEO393237 UOK393229:UOK393237 UYG393229:UYG393237 VIC393229:VIC393237 VRY393229:VRY393237 WBU393229:WBU393237 WLQ393229:WLQ393237 WVM393229:WVM393237 E458765:E458773 JA458765:JA458773 SW458765:SW458773 ACS458765:ACS458773 AMO458765:AMO458773 AWK458765:AWK458773 BGG458765:BGG458773 BQC458765:BQC458773 BZY458765:BZY458773 CJU458765:CJU458773 CTQ458765:CTQ458773 DDM458765:DDM458773 DNI458765:DNI458773 DXE458765:DXE458773 EHA458765:EHA458773 EQW458765:EQW458773 FAS458765:FAS458773 FKO458765:FKO458773 FUK458765:FUK458773 GEG458765:GEG458773 GOC458765:GOC458773 GXY458765:GXY458773 HHU458765:HHU458773 HRQ458765:HRQ458773 IBM458765:IBM458773 ILI458765:ILI458773 IVE458765:IVE458773 JFA458765:JFA458773 JOW458765:JOW458773 JYS458765:JYS458773 KIO458765:KIO458773 KSK458765:KSK458773 LCG458765:LCG458773 LMC458765:LMC458773 LVY458765:LVY458773 MFU458765:MFU458773 MPQ458765:MPQ458773 MZM458765:MZM458773 NJI458765:NJI458773 NTE458765:NTE458773 ODA458765:ODA458773 OMW458765:OMW458773 OWS458765:OWS458773 PGO458765:PGO458773 PQK458765:PQK458773 QAG458765:QAG458773 QKC458765:QKC458773 QTY458765:QTY458773 RDU458765:RDU458773 RNQ458765:RNQ458773 RXM458765:RXM458773 SHI458765:SHI458773 SRE458765:SRE458773 TBA458765:TBA458773 TKW458765:TKW458773 TUS458765:TUS458773 UEO458765:UEO458773 UOK458765:UOK458773 UYG458765:UYG458773 VIC458765:VIC458773 VRY458765:VRY458773 WBU458765:WBU458773 WLQ458765:WLQ458773 WVM458765:WVM458773 E524301:E524309 JA524301:JA524309 SW524301:SW524309 ACS524301:ACS524309 AMO524301:AMO524309 AWK524301:AWK524309 BGG524301:BGG524309 BQC524301:BQC524309 BZY524301:BZY524309 CJU524301:CJU524309 CTQ524301:CTQ524309 DDM524301:DDM524309 DNI524301:DNI524309 DXE524301:DXE524309 EHA524301:EHA524309 EQW524301:EQW524309 FAS524301:FAS524309 FKO524301:FKO524309 FUK524301:FUK524309 GEG524301:GEG524309 GOC524301:GOC524309 GXY524301:GXY524309 HHU524301:HHU524309 HRQ524301:HRQ524309 IBM524301:IBM524309 ILI524301:ILI524309 IVE524301:IVE524309 JFA524301:JFA524309 JOW524301:JOW524309 JYS524301:JYS524309 KIO524301:KIO524309 KSK524301:KSK524309 LCG524301:LCG524309 LMC524301:LMC524309 LVY524301:LVY524309 MFU524301:MFU524309 MPQ524301:MPQ524309 MZM524301:MZM524309 NJI524301:NJI524309 NTE524301:NTE524309 ODA524301:ODA524309 OMW524301:OMW524309 OWS524301:OWS524309 PGO524301:PGO524309 PQK524301:PQK524309 QAG524301:QAG524309 QKC524301:QKC524309 QTY524301:QTY524309 RDU524301:RDU524309 RNQ524301:RNQ524309 RXM524301:RXM524309 SHI524301:SHI524309 SRE524301:SRE524309 TBA524301:TBA524309 TKW524301:TKW524309 TUS524301:TUS524309 UEO524301:UEO524309 UOK524301:UOK524309 UYG524301:UYG524309 VIC524301:VIC524309 VRY524301:VRY524309 WBU524301:WBU524309 WLQ524301:WLQ524309 WVM524301:WVM524309 E589837:E589845 JA589837:JA589845 SW589837:SW589845 ACS589837:ACS589845 AMO589837:AMO589845 AWK589837:AWK589845 BGG589837:BGG589845 BQC589837:BQC589845 BZY589837:BZY589845 CJU589837:CJU589845 CTQ589837:CTQ589845 DDM589837:DDM589845 DNI589837:DNI589845 DXE589837:DXE589845 EHA589837:EHA589845 EQW589837:EQW589845 FAS589837:FAS589845 FKO589837:FKO589845 FUK589837:FUK589845 GEG589837:GEG589845 GOC589837:GOC589845 GXY589837:GXY589845 HHU589837:HHU589845 HRQ589837:HRQ589845 IBM589837:IBM589845 ILI589837:ILI589845 IVE589837:IVE589845 JFA589837:JFA589845 JOW589837:JOW589845 JYS589837:JYS589845 KIO589837:KIO589845 KSK589837:KSK589845 LCG589837:LCG589845 LMC589837:LMC589845 LVY589837:LVY589845 MFU589837:MFU589845 MPQ589837:MPQ589845 MZM589837:MZM589845 NJI589837:NJI589845 NTE589837:NTE589845 ODA589837:ODA589845 OMW589837:OMW589845 OWS589837:OWS589845 PGO589837:PGO589845 PQK589837:PQK589845 QAG589837:QAG589845 QKC589837:QKC589845 QTY589837:QTY589845 RDU589837:RDU589845 RNQ589837:RNQ589845 RXM589837:RXM589845 SHI589837:SHI589845 SRE589837:SRE589845 TBA589837:TBA589845 TKW589837:TKW589845 TUS589837:TUS589845 UEO589837:UEO589845 UOK589837:UOK589845 UYG589837:UYG589845 VIC589837:VIC589845 VRY589837:VRY589845 WBU589837:WBU589845 WLQ589837:WLQ589845 WVM589837:WVM589845 E655373:E655381 JA655373:JA655381 SW655373:SW655381 ACS655373:ACS655381 AMO655373:AMO655381 AWK655373:AWK655381 BGG655373:BGG655381 BQC655373:BQC655381 BZY655373:BZY655381 CJU655373:CJU655381 CTQ655373:CTQ655381 DDM655373:DDM655381 DNI655373:DNI655381 DXE655373:DXE655381 EHA655373:EHA655381 EQW655373:EQW655381 FAS655373:FAS655381 FKO655373:FKO655381 FUK655373:FUK655381 GEG655373:GEG655381 GOC655373:GOC655381 GXY655373:GXY655381 HHU655373:HHU655381 HRQ655373:HRQ655381 IBM655373:IBM655381 ILI655373:ILI655381 IVE655373:IVE655381 JFA655373:JFA655381 JOW655373:JOW655381 JYS655373:JYS655381 KIO655373:KIO655381 KSK655373:KSK655381 LCG655373:LCG655381 LMC655373:LMC655381 LVY655373:LVY655381 MFU655373:MFU655381 MPQ655373:MPQ655381 MZM655373:MZM655381 NJI655373:NJI655381 NTE655373:NTE655381 ODA655373:ODA655381 OMW655373:OMW655381 OWS655373:OWS655381 PGO655373:PGO655381 PQK655373:PQK655381 QAG655373:QAG655381 QKC655373:QKC655381 QTY655373:QTY655381 RDU655373:RDU655381 RNQ655373:RNQ655381 RXM655373:RXM655381 SHI655373:SHI655381 SRE655373:SRE655381 TBA655373:TBA655381 TKW655373:TKW655381 TUS655373:TUS655381 UEO655373:UEO655381 UOK655373:UOK655381 UYG655373:UYG655381 VIC655373:VIC655381 VRY655373:VRY655381 WBU655373:WBU655381 WLQ655373:WLQ655381 WVM655373:WVM655381 E720909:E720917 JA720909:JA720917 SW720909:SW720917 ACS720909:ACS720917 AMO720909:AMO720917 AWK720909:AWK720917 BGG720909:BGG720917 BQC720909:BQC720917 BZY720909:BZY720917 CJU720909:CJU720917 CTQ720909:CTQ720917 DDM720909:DDM720917 DNI720909:DNI720917 DXE720909:DXE720917 EHA720909:EHA720917 EQW720909:EQW720917 FAS720909:FAS720917 FKO720909:FKO720917 FUK720909:FUK720917 GEG720909:GEG720917 GOC720909:GOC720917 GXY720909:GXY720917 HHU720909:HHU720917 HRQ720909:HRQ720917 IBM720909:IBM720917 ILI720909:ILI720917 IVE720909:IVE720917 JFA720909:JFA720917 JOW720909:JOW720917 JYS720909:JYS720917 KIO720909:KIO720917 KSK720909:KSK720917 LCG720909:LCG720917 LMC720909:LMC720917 LVY720909:LVY720917 MFU720909:MFU720917 MPQ720909:MPQ720917 MZM720909:MZM720917 NJI720909:NJI720917 NTE720909:NTE720917 ODA720909:ODA720917 OMW720909:OMW720917 OWS720909:OWS720917 PGO720909:PGO720917 PQK720909:PQK720917 QAG720909:QAG720917 QKC720909:QKC720917 QTY720909:QTY720917 RDU720909:RDU720917 RNQ720909:RNQ720917 RXM720909:RXM720917 SHI720909:SHI720917 SRE720909:SRE720917 TBA720909:TBA720917 TKW720909:TKW720917 TUS720909:TUS720917 UEO720909:UEO720917 UOK720909:UOK720917 UYG720909:UYG720917 VIC720909:VIC720917 VRY720909:VRY720917 WBU720909:WBU720917 WLQ720909:WLQ720917 WVM720909:WVM720917 E786445:E786453 JA786445:JA786453 SW786445:SW786453 ACS786445:ACS786453 AMO786445:AMO786453 AWK786445:AWK786453 BGG786445:BGG786453 BQC786445:BQC786453 BZY786445:BZY786453 CJU786445:CJU786453 CTQ786445:CTQ786453 DDM786445:DDM786453 DNI786445:DNI786453 DXE786445:DXE786453 EHA786445:EHA786453 EQW786445:EQW786453 FAS786445:FAS786453 FKO786445:FKO786453 FUK786445:FUK786453 GEG786445:GEG786453 GOC786445:GOC786453 GXY786445:GXY786453 HHU786445:HHU786453 HRQ786445:HRQ786453 IBM786445:IBM786453 ILI786445:ILI786453 IVE786445:IVE786453 JFA786445:JFA786453 JOW786445:JOW786453 JYS786445:JYS786453 KIO786445:KIO786453 KSK786445:KSK786453 LCG786445:LCG786453 LMC786445:LMC786453 LVY786445:LVY786453 MFU786445:MFU786453 MPQ786445:MPQ786453 MZM786445:MZM786453 NJI786445:NJI786453 NTE786445:NTE786453 ODA786445:ODA786453 OMW786445:OMW786453 OWS786445:OWS786453 PGO786445:PGO786453 PQK786445:PQK786453 QAG786445:QAG786453 QKC786445:QKC786453 QTY786445:QTY786453 RDU786445:RDU786453 RNQ786445:RNQ786453 RXM786445:RXM786453 SHI786445:SHI786453 SRE786445:SRE786453 TBA786445:TBA786453 TKW786445:TKW786453 TUS786445:TUS786453 UEO786445:UEO786453 UOK786445:UOK786453 UYG786445:UYG786453 VIC786445:VIC786453 VRY786445:VRY786453 WBU786445:WBU786453 WLQ786445:WLQ786453 WVM786445:WVM786453 E851981:E851989 JA851981:JA851989 SW851981:SW851989 ACS851981:ACS851989 AMO851981:AMO851989 AWK851981:AWK851989 BGG851981:BGG851989 BQC851981:BQC851989 BZY851981:BZY851989 CJU851981:CJU851989 CTQ851981:CTQ851989 DDM851981:DDM851989 DNI851981:DNI851989 DXE851981:DXE851989 EHA851981:EHA851989 EQW851981:EQW851989 FAS851981:FAS851989 FKO851981:FKO851989 FUK851981:FUK851989 GEG851981:GEG851989 GOC851981:GOC851989 GXY851981:GXY851989 HHU851981:HHU851989 HRQ851981:HRQ851989 IBM851981:IBM851989 ILI851981:ILI851989 IVE851981:IVE851989 JFA851981:JFA851989 JOW851981:JOW851989 JYS851981:JYS851989 KIO851981:KIO851989 KSK851981:KSK851989 LCG851981:LCG851989 LMC851981:LMC851989 LVY851981:LVY851989 MFU851981:MFU851989 MPQ851981:MPQ851989 MZM851981:MZM851989 NJI851981:NJI851989 NTE851981:NTE851989 ODA851981:ODA851989 OMW851981:OMW851989 OWS851981:OWS851989 PGO851981:PGO851989 PQK851981:PQK851989 QAG851981:QAG851989 QKC851981:QKC851989 QTY851981:QTY851989 RDU851981:RDU851989 RNQ851981:RNQ851989 RXM851981:RXM851989 SHI851981:SHI851989 SRE851981:SRE851989 TBA851981:TBA851989 TKW851981:TKW851989 TUS851981:TUS851989 UEO851981:UEO851989 UOK851981:UOK851989 UYG851981:UYG851989 VIC851981:VIC851989 VRY851981:VRY851989 WBU851981:WBU851989 WLQ851981:WLQ851989 WVM851981:WVM851989 E917517:E917525 JA917517:JA917525 SW917517:SW917525 ACS917517:ACS917525 AMO917517:AMO917525 AWK917517:AWK917525 BGG917517:BGG917525 BQC917517:BQC917525 BZY917517:BZY917525 CJU917517:CJU917525 CTQ917517:CTQ917525 DDM917517:DDM917525 DNI917517:DNI917525 DXE917517:DXE917525 EHA917517:EHA917525 EQW917517:EQW917525 FAS917517:FAS917525 FKO917517:FKO917525 FUK917517:FUK917525 GEG917517:GEG917525 GOC917517:GOC917525 GXY917517:GXY917525 HHU917517:HHU917525 HRQ917517:HRQ917525 IBM917517:IBM917525 ILI917517:ILI917525 IVE917517:IVE917525 JFA917517:JFA917525 JOW917517:JOW917525 JYS917517:JYS917525 KIO917517:KIO917525 KSK917517:KSK917525 LCG917517:LCG917525 LMC917517:LMC917525 LVY917517:LVY917525 MFU917517:MFU917525 MPQ917517:MPQ917525 MZM917517:MZM917525 NJI917517:NJI917525 NTE917517:NTE917525 ODA917517:ODA917525 OMW917517:OMW917525 OWS917517:OWS917525 PGO917517:PGO917525 PQK917517:PQK917525 QAG917517:QAG917525 QKC917517:QKC917525 QTY917517:QTY917525 RDU917517:RDU917525 RNQ917517:RNQ917525 RXM917517:RXM917525 SHI917517:SHI917525 SRE917517:SRE917525 TBA917517:TBA917525 TKW917517:TKW917525 TUS917517:TUS917525 UEO917517:UEO917525 UOK917517:UOK917525 UYG917517:UYG917525 VIC917517:VIC917525 VRY917517:VRY917525 WBU917517:WBU917525 WLQ917517:WLQ917525 WVM917517:WVM917525 E983053:E983061 JA983053:JA983061 SW983053:SW983061 ACS983053:ACS983061 AMO983053:AMO983061 AWK983053:AWK983061 BGG983053:BGG983061 BQC983053:BQC983061 BZY983053:BZY983061 CJU983053:CJU983061 CTQ983053:CTQ983061 DDM983053:DDM983061 DNI983053:DNI983061 DXE983053:DXE983061 EHA983053:EHA983061 EQW983053:EQW983061 FAS983053:FAS983061 FKO983053:FKO983061 FUK983053:FUK983061 GEG983053:GEG983061 GOC983053:GOC983061 GXY983053:GXY983061 HHU983053:HHU983061 HRQ983053:HRQ983061 IBM983053:IBM983061 ILI983053:ILI983061 IVE983053:IVE983061 JFA983053:JFA983061 JOW983053:JOW983061 JYS983053:JYS983061 KIO983053:KIO983061 KSK983053:KSK983061 LCG983053:LCG983061 LMC983053:LMC983061 LVY983053:LVY983061 MFU983053:MFU983061 MPQ983053:MPQ983061 MZM983053:MZM983061 NJI983053:NJI983061 NTE983053:NTE983061 ODA983053:ODA983061 OMW983053:OMW983061 OWS983053:OWS983061 PGO983053:PGO983061 PQK983053:PQK983061 QAG983053:QAG983061 QKC983053:QKC983061 QTY983053:QTY983061 RDU983053:RDU983061 RNQ983053:RNQ983061 RXM983053:RXM983061 SHI983053:SHI983061 SRE983053:SRE983061 TBA983053:TBA983061 TKW983053:TKW983061 TUS983053:TUS983061 UEO983053:UEO983061 UOK983053:UOK983061 UYG983053:UYG983061 VIC983053:VIC983061 VRY983053:VRY983061 WBU983053:WBU983061 WLQ983053:WLQ983061 WVM983053:WVM983061">
      <formula1>0</formula1>
      <formula2>1</formula2>
    </dataValidation>
    <dataValidation type="decimal" allowBlank="1" showInputMessage="1" showErrorMessage="1" error="Please enter a number between 0 and 1" sqref="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formula1>0</formula1>
      <formula2>1</formula2>
    </dataValidation>
    <dataValidation type="whole" allowBlank="1" showInputMessage="1" showErrorMessage="1" errorTitle="Error in delay time" error="Please enter a whole number of months between 0 and 24" sqref="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formula1>0</formula1>
      <formula2>24</formula2>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1</xdr:col>
                    <xdr:colOff>2495550</xdr:colOff>
                    <xdr:row>23</xdr:row>
                    <xdr:rowOff>180975</xdr:rowOff>
                  </from>
                  <to>
                    <xdr:col>4</xdr:col>
                    <xdr:colOff>180975</xdr:colOff>
                    <xdr:row>25</xdr:row>
                    <xdr:rowOff>0</xdr:rowOff>
                  </to>
                </anchor>
              </controlPr>
            </control>
          </mc:Choice>
        </mc:AlternateContent>
        <mc:AlternateContent xmlns:mc="http://schemas.openxmlformats.org/markup-compatibility/2006">
          <mc:Choice Requires="x14">
            <control shapeId="3074" r:id="rId4" name="Drop Down 2">
              <controlPr defaultSize="0" autoLine="0" autoPict="0">
                <anchor moveWithCells="1">
                  <from>
                    <xdr:col>1</xdr:col>
                    <xdr:colOff>2495550</xdr:colOff>
                    <xdr:row>9</xdr:row>
                    <xdr:rowOff>180975</xdr:rowOff>
                  </from>
                  <to>
                    <xdr:col>4</xdr:col>
                    <xdr:colOff>190500</xdr:colOff>
                    <xdr:row>11</xdr:row>
                    <xdr:rowOff>0</xdr:rowOff>
                  </to>
                </anchor>
              </controlPr>
            </control>
          </mc:Choice>
        </mc:AlternateContent>
        <mc:AlternateContent xmlns:mc="http://schemas.openxmlformats.org/markup-compatibility/2006">
          <mc:Choice Requires="x14">
            <control shapeId="3075" r:id="rId5" name="Drop Down 3">
              <controlPr defaultSize="0" autoLine="0" autoPict="0">
                <anchor moveWithCells="1">
                  <from>
                    <xdr:col>2</xdr:col>
                    <xdr:colOff>695325</xdr:colOff>
                    <xdr:row>1</xdr:row>
                    <xdr:rowOff>200025</xdr:rowOff>
                  </from>
                  <to>
                    <xdr:col>6</xdr:col>
                    <xdr:colOff>200025</xdr:colOff>
                    <xdr:row>3</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0"/>
  <dimension ref="A2:J109"/>
  <sheetViews>
    <sheetView workbookViewId="0"/>
  </sheetViews>
  <sheetFormatPr defaultRowHeight="15" x14ac:dyDescent="0.25"/>
  <cols>
    <col min="1" max="1" width="3.5703125" style="281" customWidth="1"/>
    <col min="2" max="2" width="5.28515625" style="281" customWidth="1"/>
    <col min="3" max="3" width="9" style="281" customWidth="1"/>
    <col min="4" max="4" width="7.5703125" style="631" customWidth="1"/>
    <col min="5" max="5" width="10.85546875" style="281" customWidth="1"/>
    <col min="6" max="6" width="10.7109375" style="281" customWidth="1"/>
    <col min="7" max="7" width="10.140625" style="281" customWidth="1"/>
    <col min="8" max="8" width="14.42578125" style="281" customWidth="1"/>
    <col min="9" max="9" width="11.7109375" style="281" customWidth="1"/>
    <col min="10" max="10" width="10.28515625" style="281" customWidth="1"/>
    <col min="11" max="256" width="9.140625" style="44"/>
    <col min="257" max="257" width="3.5703125" style="44" customWidth="1"/>
    <col min="258" max="258" width="5.28515625" style="44" customWidth="1"/>
    <col min="259" max="259" width="9" style="44" customWidth="1"/>
    <col min="260" max="260" width="7.5703125" style="44" customWidth="1"/>
    <col min="261" max="261" width="10.85546875" style="44" customWidth="1"/>
    <col min="262" max="262" width="10.7109375" style="44" customWidth="1"/>
    <col min="263" max="263" width="10.140625" style="44" customWidth="1"/>
    <col min="264" max="264" width="14.42578125" style="44" customWidth="1"/>
    <col min="265" max="265" width="11.7109375" style="44" customWidth="1"/>
    <col min="266" max="266" width="10.28515625" style="44" customWidth="1"/>
    <col min="267" max="512" width="9.140625" style="44"/>
    <col min="513" max="513" width="3.5703125" style="44" customWidth="1"/>
    <col min="514" max="514" width="5.28515625" style="44" customWidth="1"/>
    <col min="515" max="515" width="9" style="44" customWidth="1"/>
    <col min="516" max="516" width="7.5703125" style="44" customWidth="1"/>
    <col min="517" max="517" width="10.85546875" style="44" customWidth="1"/>
    <col min="518" max="518" width="10.7109375" style="44" customWidth="1"/>
    <col min="519" max="519" width="10.140625" style="44" customWidth="1"/>
    <col min="520" max="520" width="14.42578125" style="44" customWidth="1"/>
    <col min="521" max="521" width="11.7109375" style="44" customWidth="1"/>
    <col min="522" max="522" width="10.28515625" style="44" customWidth="1"/>
    <col min="523" max="768" width="9.140625" style="44"/>
    <col min="769" max="769" width="3.5703125" style="44" customWidth="1"/>
    <col min="770" max="770" width="5.28515625" style="44" customWidth="1"/>
    <col min="771" max="771" width="9" style="44" customWidth="1"/>
    <col min="772" max="772" width="7.5703125" style="44" customWidth="1"/>
    <col min="773" max="773" width="10.85546875" style="44" customWidth="1"/>
    <col min="774" max="774" width="10.7109375" style="44" customWidth="1"/>
    <col min="775" max="775" width="10.140625" style="44" customWidth="1"/>
    <col min="776" max="776" width="14.42578125" style="44" customWidth="1"/>
    <col min="777" max="777" width="11.7109375" style="44" customWidth="1"/>
    <col min="778" max="778" width="10.28515625" style="44" customWidth="1"/>
    <col min="779" max="1024" width="9.140625" style="44"/>
    <col min="1025" max="1025" width="3.5703125" style="44" customWidth="1"/>
    <col min="1026" max="1026" width="5.28515625" style="44" customWidth="1"/>
    <col min="1027" max="1027" width="9" style="44" customWidth="1"/>
    <col min="1028" max="1028" width="7.5703125" style="44" customWidth="1"/>
    <col min="1029" max="1029" width="10.85546875" style="44" customWidth="1"/>
    <col min="1030" max="1030" width="10.7109375" style="44" customWidth="1"/>
    <col min="1031" max="1031" width="10.140625" style="44" customWidth="1"/>
    <col min="1032" max="1032" width="14.42578125" style="44" customWidth="1"/>
    <col min="1033" max="1033" width="11.7109375" style="44" customWidth="1"/>
    <col min="1034" max="1034" width="10.28515625" style="44" customWidth="1"/>
    <col min="1035" max="1280" width="9.140625" style="44"/>
    <col min="1281" max="1281" width="3.5703125" style="44" customWidth="1"/>
    <col min="1282" max="1282" width="5.28515625" style="44" customWidth="1"/>
    <col min="1283" max="1283" width="9" style="44" customWidth="1"/>
    <col min="1284" max="1284" width="7.5703125" style="44" customWidth="1"/>
    <col min="1285" max="1285" width="10.85546875" style="44" customWidth="1"/>
    <col min="1286" max="1286" width="10.7109375" style="44" customWidth="1"/>
    <col min="1287" max="1287" width="10.140625" style="44" customWidth="1"/>
    <col min="1288" max="1288" width="14.42578125" style="44" customWidth="1"/>
    <col min="1289" max="1289" width="11.7109375" style="44" customWidth="1"/>
    <col min="1290" max="1290" width="10.28515625" style="44" customWidth="1"/>
    <col min="1291" max="1536" width="9.140625" style="44"/>
    <col min="1537" max="1537" width="3.5703125" style="44" customWidth="1"/>
    <col min="1538" max="1538" width="5.28515625" style="44" customWidth="1"/>
    <col min="1539" max="1539" width="9" style="44" customWidth="1"/>
    <col min="1540" max="1540" width="7.5703125" style="44" customWidth="1"/>
    <col min="1541" max="1541" width="10.85546875" style="44" customWidth="1"/>
    <col min="1542" max="1542" width="10.7109375" style="44" customWidth="1"/>
    <col min="1543" max="1543" width="10.140625" style="44" customWidth="1"/>
    <col min="1544" max="1544" width="14.42578125" style="44" customWidth="1"/>
    <col min="1545" max="1545" width="11.7109375" style="44" customWidth="1"/>
    <col min="1546" max="1546" width="10.28515625" style="44" customWidth="1"/>
    <col min="1547" max="1792" width="9.140625" style="44"/>
    <col min="1793" max="1793" width="3.5703125" style="44" customWidth="1"/>
    <col min="1794" max="1794" width="5.28515625" style="44" customWidth="1"/>
    <col min="1795" max="1795" width="9" style="44" customWidth="1"/>
    <col min="1796" max="1796" width="7.5703125" style="44" customWidth="1"/>
    <col min="1797" max="1797" width="10.85546875" style="44" customWidth="1"/>
    <col min="1798" max="1798" width="10.7109375" style="44" customWidth="1"/>
    <col min="1799" max="1799" width="10.140625" style="44" customWidth="1"/>
    <col min="1800" max="1800" width="14.42578125" style="44" customWidth="1"/>
    <col min="1801" max="1801" width="11.7109375" style="44" customWidth="1"/>
    <col min="1802" max="1802" width="10.28515625" style="44" customWidth="1"/>
    <col min="1803" max="2048" width="9.140625" style="44"/>
    <col min="2049" max="2049" width="3.5703125" style="44" customWidth="1"/>
    <col min="2050" max="2050" width="5.28515625" style="44" customWidth="1"/>
    <col min="2051" max="2051" width="9" style="44" customWidth="1"/>
    <col min="2052" max="2052" width="7.5703125" style="44" customWidth="1"/>
    <col min="2053" max="2053" width="10.85546875" style="44" customWidth="1"/>
    <col min="2054" max="2054" width="10.7109375" style="44" customWidth="1"/>
    <col min="2055" max="2055" width="10.140625" style="44" customWidth="1"/>
    <col min="2056" max="2056" width="14.42578125" style="44" customWidth="1"/>
    <col min="2057" max="2057" width="11.7109375" style="44" customWidth="1"/>
    <col min="2058" max="2058" width="10.28515625" style="44" customWidth="1"/>
    <col min="2059" max="2304" width="9.140625" style="44"/>
    <col min="2305" max="2305" width="3.5703125" style="44" customWidth="1"/>
    <col min="2306" max="2306" width="5.28515625" style="44" customWidth="1"/>
    <col min="2307" max="2307" width="9" style="44" customWidth="1"/>
    <col min="2308" max="2308" width="7.5703125" style="44" customWidth="1"/>
    <col min="2309" max="2309" width="10.85546875" style="44" customWidth="1"/>
    <col min="2310" max="2310" width="10.7109375" style="44" customWidth="1"/>
    <col min="2311" max="2311" width="10.140625" style="44" customWidth="1"/>
    <col min="2312" max="2312" width="14.42578125" style="44" customWidth="1"/>
    <col min="2313" max="2313" width="11.7109375" style="44" customWidth="1"/>
    <col min="2314" max="2314" width="10.28515625" style="44" customWidth="1"/>
    <col min="2315" max="2560" width="9.140625" style="44"/>
    <col min="2561" max="2561" width="3.5703125" style="44" customWidth="1"/>
    <col min="2562" max="2562" width="5.28515625" style="44" customWidth="1"/>
    <col min="2563" max="2563" width="9" style="44" customWidth="1"/>
    <col min="2564" max="2564" width="7.5703125" style="44" customWidth="1"/>
    <col min="2565" max="2565" width="10.85546875" style="44" customWidth="1"/>
    <col min="2566" max="2566" width="10.7109375" style="44" customWidth="1"/>
    <col min="2567" max="2567" width="10.140625" style="44" customWidth="1"/>
    <col min="2568" max="2568" width="14.42578125" style="44" customWidth="1"/>
    <col min="2569" max="2569" width="11.7109375" style="44" customWidth="1"/>
    <col min="2570" max="2570" width="10.28515625" style="44" customWidth="1"/>
    <col min="2571" max="2816" width="9.140625" style="44"/>
    <col min="2817" max="2817" width="3.5703125" style="44" customWidth="1"/>
    <col min="2818" max="2818" width="5.28515625" style="44" customWidth="1"/>
    <col min="2819" max="2819" width="9" style="44" customWidth="1"/>
    <col min="2820" max="2820" width="7.5703125" style="44" customWidth="1"/>
    <col min="2821" max="2821" width="10.85546875" style="44" customWidth="1"/>
    <col min="2822" max="2822" width="10.7109375" style="44" customWidth="1"/>
    <col min="2823" max="2823" width="10.140625" style="44" customWidth="1"/>
    <col min="2824" max="2824" width="14.42578125" style="44" customWidth="1"/>
    <col min="2825" max="2825" width="11.7109375" style="44" customWidth="1"/>
    <col min="2826" max="2826" width="10.28515625" style="44" customWidth="1"/>
    <col min="2827" max="3072" width="9.140625" style="44"/>
    <col min="3073" max="3073" width="3.5703125" style="44" customWidth="1"/>
    <col min="3074" max="3074" width="5.28515625" style="44" customWidth="1"/>
    <col min="3075" max="3075" width="9" style="44" customWidth="1"/>
    <col min="3076" max="3076" width="7.5703125" style="44" customWidth="1"/>
    <col min="3077" max="3077" width="10.85546875" style="44" customWidth="1"/>
    <col min="3078" max="3078" width="10.7109375" style="44" customWidth="1"/>
    <col min="3079" max="3079" width="10.140625" style="44" customWidth="1"/>
    <col min="3080" max="3080" width="14.42578125" style="44" customWidth="1"/>
    <col min="3081" max="3081" width="11.7109375" style="44" customWidth="1"/>
    <col min="3082" max="3082" width="10.28515625" style="44" customWidth="1"/>
    <col min="3083" max="3328" width="9.140625" style="44"/>
    <col min="3329" max="3329" width="3.5703125" style="44" customWidth="1"/>
    <col min="3330" max="3330" width="5.28515625" style="44" customWidth="1"/>
    <col min="3331" max="3331" width="9" style="44" customWidth="1"/>
    <col min="3332" max="3332" width="7.5703125" style="44" customWidth="1"/>
    <col min="3333" max="3333" width="10.85546875" style="44" customWidth="1"/>
    <col min="3334" max="3334" width="10.7109375" style="44" customWidth="1"/>
    <col min="3335" max="3335" width="10.140625" style="44" customWidth="1"/>
    <col min="3336" max="3336" width="14.42578125" style="44" customWidth="1"/>
    <col min="3337" max="3337" width="11.7109375" style="44" customWidth="1"/>
    <col min="3338" max="3338" width="10.28515625" style="44" customWidth="1"/>
    <col min="3339" max="3584" width="9.140625" style="44"/>
    <col min="3585" max="3585" width="3.5703125" style="44" customWidth="1"/>
    <col min="3586" max="3586" width="5.28515625" style="44" customWidth="1"/>
    <col min="3587" max="3587" width="9" style="44" customWidth="1"/>
    <col min="3588" max="3588" width="7.5703125" style="44" customWidth="1"/>
    <col min="3589" max="3589" width="10.85546875" style="44" customWidth="1"/>
    <col min="3590" max="3590" width="10.7109375" style="44" customWidth="1"/>
    <col min="3591" max="3591" width="10.140625" style="44" customWidth="1"/>
    <col min="3592" max="3592" width="14.42578125" style="44" customWidth="1"/>
    <col min="3593" max="3593" width="11.7109375" style="44" customWidth="1"/>
    <col min="3594" max="3594" width="10.28515625" style="44" customWidth="1"/>
    <col min="3595" max="3840" width="9.140625" style="44"/>
    <col min="3841" max="3841" width="3.5703125" style="44" customWidth="1"/>
    <col min="3842" max="3842" width="5.28515625" style="44" customWidth="1"/>
    <col min="3843" max="3843" width="9" style="44" customWidth="1"/>
    <col min="3844" max="3844" width="7.5703125" style="44" customWidth="1"/>
    <col min="3845" max="3845" width="10.85546875" style="44" customWidth="1"/>
    <col min="3846" max="3846" width="10.7109375" style="44" customWidth="1"/>
    <col min="3847" max="3847" width="10.140625" style="44" customWidth="1"/>
    <col min="3848" max="3848" width="14.42578125" style="44" customWidth="1"/>
    <col min="3849" max="3849" width="11.7109375" style="44" customWidth="1"/>
    <col min="3850" max="3850" width="10.28515625" style="44" customWidth="1"/>
    <col min="3851" max="4096" width="9.140625" style="44"/>
    <col min="4097" max="4097" width="3.5703125" style="44" customWidth="1"/>
    <col min="4098" max="4098" width="5.28515625" style="44" customWidth="1"/>
    <col min="4099" max="4099" width="9" style="44" customWidth="1"/>
    <col min="4100" max="4100" width="7.5703125" style="44" customWidth="1"/>
    <col min="4101" max="4101" width="10.85546875" style="44" customWidth="1"/>
    <col min="4102" max="4102" width="10.7109375" style="44" customWidth="1"/>
    <col min="4103" max="4103" width="10.140625" style="44" customWidth="1"/>
    <col min="4104" max="4104" width="14.42578125" style="44" customWidth="1"/>
    <col min="4105" max="4105" width="11.7109375" style="44" customWidth="1"/>
    <col min="4106" max="4106" width="10.28515625" style="44" customWidth="1"/>
    <col min="4107" max="4352" width="9.140625" style="44"/>
    <col min="4353" max="4353" width="3.5703125" style="44" customWidth="1"/>
    <col min="4354" max="4354" width="5.28515625" style="44" customWidth="1"/>
    <col min="4355" max="4355" width="9" style="44" customWidth="1"/>
    <col min="4356" max="4356" width="7.5703125" style="44" customWidth="1"/>
    <col min="4357" max="4357" width="10.85546875" style="44" customWidth="1"/>
    <col min="4358" max="4358" width="10.7109375" style="44" customWidth="1"/>
    <col min="4359" max="4359" width="10.140625" style="44" customWidth="1"/>
    <col min="4360" max="4360" width="14.42578125" style="44" customWidth="1"/>
    <col min="4361" max="4361" width="11.7109375" style="44" customWidth="1"/>
    <col min="4362" max="4362" width="10.28515625" style="44" customWidth="1"/>
    <col min="4363" max="4608" width="9.140625" style="44"/>
    <col min="4609" max="4609" width="3.5703125" style="44" customWidth="1"/>
    <col min="4610" max="4610" width="5.28515625" style="44" customWidth="1"/>
    <col min="4611" max="4611" width="9" style="44" customWidth="1"/>
    <col min="4612" max="4612" width="7.5703125" style="44" customWidth="1"/>
    <col min="4613" max="4613" width="10.85546875" style="44" customWidth="1"/>
    <col min="4614" max="4614" width="10.7109375" style="44" customWidth="1"/>
    <col min="4615" max="4615" width="10.140625" style="44" customWidth="1"/>
    <col min="4616" max="4616" width="14.42578125" style="44" customWidth="1"/>
    <col min="4617" max="4617" width="11.7109375" style="44" customWidth="1"/>
    <col min="4618" max="4618" width="10.28515625" style="44" customWidth="1"/>
    <col min="4619" max="4864" width="9.140625" style="44"/>
    <col min="4865" max="4865" width="3.5703125" style="44" customWidth="1"/>
    <col min="4866" max="4866" width="5.28515625" style="44" customWidth="1"/>
    <col min="4867" max="4867" width="9" style="44" customWidth="1"/>
    <col min="4868" max="4868" width="7.5703125" style="44" customWidth="1"/>
    <col min="4869" max="4869" width="10.85546875" style="44" customWidth="1"/>
    <col min="4870" max="4870" width="10.7109375" style="44" customWidth="1"/>
    <col min="4871" max="4871" width="10.140625" style="44" customWidth="1"/>
    <col min="4872" max="4872" width="14.42578125" style="44" customWidth="1"/>
    <col min="4873" max="4873" width="11.7109375" style="44" customWidth="1"/>
    <col min="4874" max="4874" width="10.28515625" style="44" customWidth="1"/>
    <col min="4875" max="5120" width="9.140625" style="44"/>
    <col min="5121" max="5121" width="3.5703125" style="44" customWidth="1"/>
    <col min="5122" max="5122" width="5.28515625" style="44" customWidth="1"/>
    <col min="5123" max="5123" width="9" style="44" customWidth="1"/>
    <col min="5124" max="5124" width="7.5703125" style="44" customWidth="1"/>
    <col min="5125" max="5125" width="10.85546875" style="44" customWidth="1"/>
    <col min="5126" max="5126" width="10.7109375" style="44" customWidth="1"/>
    <col min="5127" max="5127" width="10.140625" style="44" customWidth="1"/>
    <col min="5128" max="5128" width="14.42578125" style="44" customWidth="1"/>
    <col min="5129" max="5129" width="11.7109375" style="44" customWidth="1"/>
    <col min="5130" max="5130" width="10.28515625" style="44" customWidth="1"/>
    <col min="5131" max="5376" width="9.140625" style="44"/>
    <col min="5377" max="5377" width="3.5703125" style="44" customWidth="1"/>
    <col min="5378" max="5378" width="5.28515625" style="44" customWidth="1"/>
    <col min="5379" max="5379" width="9" style="44" customWidth="1"/>
    <col min="5380" max="5380" width="7.5703125" style="44" customWidth="1"/>
    <col min="5381" max="5381" width="10.85546875" style="44" customWidth="1"/>
    <col min="5382" max="5382" width="10.7109375" style="44" customWidth="1"/>
    <col min="5383" max="5383" width="10.140625" style="44" customWidth="1"/>
    <col min="5384" max="5384" width="14.42578125" style="44" customWidth="1"/>
    <col min="5385" max="5385" width="11.7109375" style="44" customWidth="1"/>
    <col min="5386" max="5386" width="10.28515625" style="44" customWidth="1"/>
    <col min="5387" max="5632" width="9.140625" style="44"/>
    <col min="5633" max="5633" width="3.5703125" style="44" customWidth="1"/>
    <col min="5634" max="5634" width="5.28515625" style="44" customWidth="1"/>
    <col min="5635" max="5635" width="9" style="44" customWidth="1"/>
    <col min="5636" max="5636" width="7.5703125" style="44" customWidth="1"/>
    <col min="5637" max="5637" width="10.85546875" style="44" customWidth="1"/>
    <col min="5638" max="5638" width="10.7109375" style="44" customWidth="1"/>
    <col min="5639" max="5639" width="10.140625" style="44" customWidth="1"/>
    <col min="5640" max="5640" width="14.42578125" style="44" customWidth="1"/>
    <col min="5641" max="5641" width="11.7109375" style="44" customWidth="1"/>
    <col min="5642" max="5642" width="10.28515625" style="44" customWidth="1"/>
    <col min="5643" max="5888" width="9.140625" style="44"/>
    <col min="5889" max="5889" width="3.5703125" style="44" customWidth="1"/>
    <col min="5890" max="5890" width="5.28515625" style="44" customWidth="1"/>
    <col min="5891" max="5891" width="9" style="44" customWidth="1"/>
    <col min="5892" max="5892" width="7.5703125" style="44" customWidth="1"/>
    <col min="5893" max="5893" width="10.85546875" style="44" customWidth="1"/>
    <col min="5894" max="5894" width="10.7109375" style="44" customWidth="1"/>
    <col min="5895" max="5895" width="10.140625" style="44" customWidth="1"/>
    <col min="5896" max="5896" width="14.42578125" style="44" customWidth="1"/>
    <col min="5897" max="5897" width="11.7109375" style="44" customWidth="1"/>
    <col min="5898" max="5898" width="10.28515625" style="44" customWidth="1"/>
    <col min="5899" max="6144" width="9.140625" style="44"/>
    <col min="6145" max="6145" width="3.5703125" style="44" customWidth="1"/>
    <col min="6146" max="6146" width="5.28515625" style="44" customWidth="1"/>
    <col min="6147" max="6147" width="9" style="44" customWidth="1"/>
    <col min="6148" max="6148" width="7.5703125" style="44" customWidth="1"/>
    <col min="6149" max="6149" width="10.85546875" style="44" customWidth="1"/>
    <col min="6150" max="6150" width="10.7109375" style="44" customWidth="1"/>
    <col min="6151" max="6151" width="10.140625" style="44" customWidth="1"/>
    <col min="6152" max="6152" width="14.42578125" style="44" customWidth="1"/>
    <col min="6153" max="6153" width="11.7109375" style="44" customWidth="1"/>
    <col min="6154" max="6154" width="10.28515625" style="44" customWidth="1"/>
    <col min="6155" max="6400" width="9.140625" style="44"/>
    <col min="6401" max="6401" width="3.5703125" style="44" customWidth="1"/>
    <col min="6402" max="6402" width="5.28515625" style="44" customWidth="1"/>
    <col min="6403" max="6403" width="9" style="44" customWidth="1"/>
    <col min="6404" max="6404" width="7.5703125" style="44" customWidth="1"/>
    <col min="6405" max="6405" width="10.85546875" style="44" customWidth="1"/>
    <col min="6406" max="6406" width="10.7109375" style="44" customWidth="1"/>
    <col min="6407" max="6407" width="10.140625" style="44" customWidth="1"/>
    <col min="6408" max="6408" width="14.42578125" style="44" customWidth="1"/>
    <col min="6409" max="6409" width="11.7109375" style="44" customWidth="1"/>
    <col min="6410" max="6410" width="10.28515625" style="44" customWidth="1"/>
    <col min="6411" max="6656" width="9.140625" style="44"/>
    <col min="6657" max="6657" width="3.5703125" style="44" customWidth="1"/>
    <col min="6658" max="6658" width="5.28515625" style="44" customWidth="1"/>
    <col min="6659" max="6659" width="9" style="44" customWidth="1"/>
    <col min="6660" max="6660" width="7.5703125" style="44" customWidth="1"/>
    <col min="6661" max="6661" width="10.85546875" style="44" customWidth="1"/>
    <col min="6662" max="6662" width="10.7109375" style="44" customWidth="1"/>
    <col min="6663" max="6663" width="10.140625" style="44" customWidth="1"/>
    <col min="6664" max="6664" width="14.42578125" style="44" customWidth="1"/>
    <col min="6665" max="6665" width="11.7109375" style="44" customWidth="1"/>
    <col min="6666" max="6666" width="10.28515625" style="44" customWidth="1"/>
    <col min="6667" max="6912" width="9.140625" style="44"/>
    <col min="6913" max="6913" width="3.5703125" style="44" customWidth="1"/>
    <col min="6914" max="6914" width="5.28515625" style="44" customWidth="1"/>
    <col min="6915" max="6915" width="9" style="44" customWidth="1"/>
    <col min="6916" max="6916" width="7.5703125" style="44" customWidth="1"/>
    <col min="6917" max="6917" width="10.85546875" style="44" customWidth="1"/>
    <col min="6918" max="6918" width="10.7109375" style="44" customWidth="1"/>
    <col min="6919" max="6919" width="10.140625" style="44" customWidth="1"/>
    <col min="6920" max="6920" width="14.42578125" style="44" customWidth="1"/>
    <col min="6921" max="6921" width="11.7109375" style="44" customWidth="1"/>
    <col min="6922" max="6922" width="10.28515625" style="44" customWidth="1"/>
    <col min="6923" max="7168" width="9.140625" style="44"/>
    <col min="7169" max="7169" width="3.5703125" style="44" customWidth="1"/>
    <col min="7170" max="7170" width="5.28515625" style="44" customWidth="1"/>
    <col min="7171" max="7171" width="9" style="44" customWidth="1"/>
    <col min="7172" max="7172" width="7.5703125" style="44" customWidth="1"/>
    <col min="7173" max="7173" width="10.85546875" style="44" customWidth="1"/>
    <col min="7174" max="7174" width="10.7109375" style="44" customWidth="1"/>
    <col min="7175" max="7175" width="10.140625" style="44" customWidth="1"/>
    <col min="7176" max="7176" width="14.42578125" style="44" customWidth="1"/>
    <col min="7177" max="7177" width="11.7109375" style="44" customWidth="1"/>
    <col min="7178" max="7178" width="10.28515625" style="44" customWidth="1"/>
    <col min="7179" max="7424" width="9.140625" style="44"/>
    <col min="7425" max="7425" width="3.5703125" style="44" customWidth="1"/>
    <col min="7426" max="7426" width="5.28515625" style="44" customWidth="1"/>
    <col min="7427" max="7427" width="9" style="44" customWidth="1"/>
    <col min="7428" max="7428" width="7.5703125" style="44" customWidth="1"/>
    <col min="7429" max="7429" width="10.85546875" style="44" customWidth="1"/>
    <col min="7430" max="7430" width="10.7109375" style="44" customWidth="1"/>
    <col min="7431" max="7431" width="10.140625" style="44" customWidth="1"/>
    <col min="7432" max="7432" width="14.42578125" style="44" customWidth="1"/>
    <col min="7433" max="7433" width="11.7109375" style="44" customWidth="1"/>
    <col min="7434" max="7434" width="10.28515625" style="44" customWidth="1"/>
    <col min="7435" max="7680" width="9.140625" style="44"/>
    <col min="7681" max="7681" width="3.5703125" style="44" customWidth="1"/>
    <col min="7682" max="7682" width="5.28515625" style="44" customWidth="1"/>
    <col min="7683" max="7683" width="9" style="44" customWidth="1"/>
    <col min="7684" max="7684" width="7.5703125" style="44" customWidth="1"/>
    <col min="7685" max="7685" width="10.85546875" style="44" customWidth="1"/>
    <col min="7686" max="7686" width="10.7109375" style="44" customWidth="1"/>
    <col min="7687" max="7687" width="10.140625" style="44" customWidth="1"/>
    <col min="7688" max="7688" width="14.42578125" style="44" customWidth="1"/>
    <col min="7689" max="7689" width="11.7109375" style="44" customWidth="1"/>
    <col min="7690" max="7690" width="10.28515625" style="44" customWidth="1"/>
    <col min="7691" max="7936" width="9.140625" style="44"/>
    <col min="7937" max="7937" width="3.5703125" style="44" customWidth="1"/>
    <col min="7938" max="7938" width="5.28515625" style="44" customWidth="1"/>
    <col min="7939" max="7939" width="9" style="44" customWidth="1"/>
    <col min="7940" max="7940" width="7.5703125" style="44" customWidth="1"/>
    <col min="7941" max="7941" width="10.85546875" style="44" customWidth="1"/>
    <col min="7942" max="7942" width="10.7109375" style="44" customWidth="1"/>
    <col min="7943" max="7943" width="10.140625" style="44" customWidth="1"/>
    <col min="7944" max="7944" width="14.42578125" style="44" customWidth="1"/>
    <col min="7945" max="7945" width="11.7109375" style="44" customWidth="1"/>
    <col min="7946" max="7946" width="10.28515625" style="44" customWidth="1"/>
    <col min="7947" max="8192" width="9.140625" style="44"/>
    <col min="8193" max="8193" width="3.5703125" style="44" customWidth="1"/>
    <col min="8194" max="8194" width="5.28515625" style="44" customWidth="1"/>
    <col min="8195" max="8195" width="9" style="44" customWidth="1"/>
    <col min="8196" max="8196" width="7.5703125" style="44" customWidth="1"/>
    <col min="8197" max="8197" width="10.85546875" style="44" customWidth="1"/>
    <col min="8198" max="8198" width="10.7109375" style="44" customWidth="1"/>
    <col min="8199" max="8199" width="10.140625" style="44" customWidth="1"/>
    <col min="8200" max="8200" width="14.42578125" style="44" customWidth="1"/>
    <col min="8201" max="8201" width="11.7109375" style="44" customWidth="1"/>
    <col min="8202" max="8202" width="10.28515625" style="44" customWidth="1"/>
    <col min="8203" max="8448" width="9.140625" style="44"/>
    <col min="8449" max="8449" width="3.5703125" style="44" customWidth="1"/>
    <col min="8450" max="8450" width="5.28515625" style="44" customWidth="1"/>
    <col min="8451" max="8451" width="9" style="44" customWidth="1"/>
    <col min="8452" max="8452" width="7.5703125" style="44" customWidth="1"/>
    <col min="8453" max="8453" width="10.85546875" style="44" customWidth="1"/>
    <col min="8454" max="8454" width="10.7109375" style="44" customWidth="1"/>
    <col min="8455" max="8455" width="10.140625" style="44" customWidth="1"/>
    <col min="8456" max="8456" width="14.42578125" style="44" customWidth="1"/>
    <col min="8457" max="8457" width="11.7109375" style="44" customWidth="1"/>
    <col min="8458" max="8458" width="10.28515625" style="44" customWidth="1"/>
    <col min="8459" max="8704" width="9.140625" style="44"/>
    <col min="8705" max="8705" width="3.5703125" style="44" customWidth="1"/>
    <col min="8706" max="8706" width="5.28515625" style="44" customWidth="1"/>
    <col min="8707" max="8707" width="9" style="44" customWidth="1"/>
    <col min="8708" max="8708" width="7.5703125" style="44" customWidth="1"/>
    <col min="8709" max="8709" width="10.85546875" style="44" customWidth="1"/>
    <col min="8710" max="8710" width="10.7109375" style="44" customWidth="1"/>
    <col min="8711" max="8711" width="10.140625" style="44" customWidth="1"/>
    <col min="8712" max="8712" width="14.42578125" style="44" customWidth="1"/>
    <col min="8713" max="8713" width="11.7109375" style="44" customWidth="1"/>
    <col min="8714" max="8714" width="10.28515625" style="44" customWidth="1"/>
    <col min="8715" max="8960" width="9.140625" style="44"/>
    <col min="8961" max="8961" width="3.5703125" style="44" customWidth="1"/>
    <col min="8962" max="8962" width="5.28515625" style="44" customWidth="1"/>
    <col min="8963" max="8963" width="9" style="44" customWidth="1"/>
    <col min="8964" max="8964" width="7.5703125" style="44" customWidth="1"/>
    <col min="8965" max="8965" width="10.85546875" style="44" customWidth="1"/>
    <col min="8966" max="8966" width="10.7109375" style="44" customWidth="1"/>
    <col min="8967" max="8967" width="10.140625" style="44" customWidth="1"/>
    <col min="8968" max="8968" width="14.42578125" style="44" customWidth="1"/>
    <col min="8969" max="8969" width="11.7109375" style="44" customWidth="1"/>
    <col min="8970" max="8970" width="10.28515625" style="44" customWidth="1"/>
    <col min="8971" max="9216" width="9.140625" style="44"/>
    <col min="9217" max="9217" width="3.5703125" style="44" customWidth="1"/>
    <col min="9218" max="9218" width="5.28515625" style="44" customWidth="1"/>
    <col min="9219" max="9219" width="9" style="44" customWidth="1"/>
    <col min="9220" max="9220" width="7.5703125" style="44" customWidth="1"/>
    <col min="9221" max="9221" width="10.85546875" style="44" customWidth="1"/>
    <col min="9222" max="9222" width="10.7109375" style="44" customWidth="1"/>
    <col min="9223" max="9223" width="10.140625" style="44" customWidth="1"/>
    <col min="9224" max="9224" width="14.42578125" style="44" customWidth="1"/>
    <col min="9225" max="9225" width="11.7109375" style="44" customWidth="1"/>
    <col min="9226" max="9226" width="10.28515625" style="44" customWidth="1"/>
    <col min="9227" max="9472" width="9.140625" style="44"/>
    <col min="9473" max="9473" width="3.5703125" style="44" customWidth="1"/>
    <col min="9474" max="9474" width="5.28515625" style="44" customWidth="1"/>
    <col min="9475" max="9475" width="9" style="44" customWidth="1"/>
    <col min="9476" max="9476" width="7.5703125" style="44" customWidth="1"/>
    <col min="9477" max="9477" width="10.85546875" style="44" customWidth="1"/>
    <col min="9478" max="9478" width="10.7109375" style="44" customWidth="1"/>
    <col min="9479" max="9479" width="10.140625" style="44" customWidth="1"/>
    <col min="9480" max="9480" width="14.42578125" style="44" customWidth="1"/>
    <col min="9481" max="9481" width="11.7109375" style="44" customWidth="1"/>
    <col min="9482" max="9482" width="10.28515625" style="44" customWidth="1"/>
    <col min="9483" max="9728" width="9.140625" style="44"/>
    <col min="9729" max="9729" width="3.5703125" style="44" customWidth="1"/>
    <col min="9730" max="9730" width="5.28515625" style="44" customWidth="1"/>
    <col min="9731" max="9731" width="9" style="44" customWidth="1"/>
    <col min="9732" max="9732" width="7.5703125" style="44" customWidth="1"/>
    <col min="9733" max="9733" width="10.85546875" style="44" customWidth="1"/>
    <col min="9734" max="9734" width="10.7109375" style="44" customWidth="1"/>
    <col min="9735" max="9735" width="10.140625" style="44" customWidth="1"/>
    <col min="9736" max="9736" width="14.42578125" style="44" customWidth="1"/>
    <col min="9737" max="9737" width="11.7109375" style="44" customWidth="1"/>
    <col min="9738" max="9738" width="10.28515625" style="44" customWidth="1"/>
    <col min="9739" max="9984" width="9.140625" style="44"/>
    <col min="9985" max="9985" width="3.5703125" style="44" customWidth="1"/>
    <col min="9986" max="9986" width="5.28515625" style="44" customWidth="1"/>
    <col min="9987" max="9987" width="9" style="44" customWidth="1"/>
    <col min="9988" max="9988" width="7.5703125" style="44" customWidth="1"/>
    <col min="9989" max="9989" width="10.85546875" style="44" customWidth="1"/>
    <col min="9990" max="9990" width="10.7109375" style="44" customWidth="1"/>
    <col min="9991" max="9991" width="10.140625" style="44" customWidth="1"/>
    <col min="9992" max="9992" width="14.42578125" style="44" customWidth="1"/>
    <col min="9993" max="9993" width="11.7109375" style="44" customWidth="1"/>
    <col min="9994" max="9994" width="10.28515625" style="44" customWidth="1"/>
    <col min="9995" max="10240" width="9.140625" style="44"/>
    <col min="10241" max="10241" width="3.5703125" style="44" customWidth="1"/>
    <col min="10242" max="10242" width="5.28515625" style="44" customWidth="1"/>
    <col min="10243" max="10243" width="9" style="44" customWidth="1"/>
    <col min="10244" max="10244" width="7.5703125" style="44" customWidth="1"/>
    <col min="10245" max="10245" width="10.85546875" style="44" customWidth="1"/>
    <col min="10246" max="10246" width="10.7109375" style="44" customWidth="1"/>
    <col min="10247" max="10247" width="10.140625" style="44" customWidth="1"/>
    <col min="10248" max="10248" width="14.42578125" style="44" customWidth="1"/>
    <col min="10249" max="10249" width="11.7109375" style="44" customWidth="1"/>
    <col min="10250" max="10250" width="10.28515625" style="44" customWidth="1"/>
    <col min="10251" max="10496" width="9.140625" style="44"/>
    <col min="10497" max="10497" width="3.5703125" style="44" customWidth="1"/>
    <col min="10498" max="10498" width="5.28515625" style="44" customWidth="1"/>
    <col min="10499" max="10499" width="9" style="44" customWidth="1"/>
    <col min="10500" max="10500" width="7.5703125" style="44" customWidth="1"/>
    <col min="10501" max="10501" width="10.85546875" style="44" customWidth="1"/>
    <col min="10502" max="10502" width="10.7109375" style="44" customWidth="1"/>
    <col min="10503" max="10503" width="10.140625" style="44" customWidth="1"/>
    <col min="10504" max="10504" width="14.42578125" style="44" customWidth="1"/>
    <col min="10505" max="10505" width="11.7109375" style="44" customWidth="1"/>
    <col min="10506" max="10506" width="10.28515625" style="44" customWidth="1"/>
    <col min="10507" max="10752" width="9.140625" style="44"/>
    <col min="10753" max="10753" width="3.5703125" style="44" customWidth="1"/>
    <col min="10754" max="10754" width="5.28515625" style="44" customWidth="1"/>
    <col min="10755" max="10755" width="9" style="44" customWidth="1"/>
    <col min="10756" max="10756" width="7.5703125" style="44" customWidth="1"/>
    <col min="10757" max="10757" width="10.85546875" style="44" customWidth="1"/>
    <col min="10758" max="10758" width="10.7109375" style="44" customWidth="1"/>
    <col min="10759" max="10759" width="10.140625" style="44" customWidth="1"/>
    <col min="10760" max="10760" width="14.42578125" style="44" customWidth="1"/>
    <col min="10761" max="10761" width="11.7109375" style="44" customWidth="1"/>
    <col min="10762" max="10762" width="10.28515625" style="44" customWidth="1"/>
    <col min="10763" max="11008" width="9.140625" style="44"/>
    <col min="11009" max="11009" width="3.5703125" style="44" customWidth="1"/>
    <col min="11010" max="11010" width="5.28515625" style="44" customWidth="1"/>
    <col min="11011" max="11011" width="9" style="44" customWidth="1"/>
    <col min="11012" max="11012" width="7.5703125" style="44" customWidth="1"/>
    <col min="11013" max="11013" width="10.85546875" style="44" customWidth="1"/>
    <col min="11014" max="11014" width="10.7109375" style="44" customWidth="1"/>
    <col min="11015" max="11015" width="10.140625" style="44" customWidth="1"/>
    <col min="11016" max="11016" width="14.42578125" style="44" customWidth="1"/>
    <col min="11017" max="11017" width="11.7109375" style="44" customWidth="1"/>
    <col min="11018" max="11018" width="10.28515625" style="44" customWidth="1"/>
    <col min="11019" max="11264" width="9.140625" style="44"/>
    <col min="11265" max="11265" width="3.5703125" style="44" customWidth="1"/>
    <col min="11266" max="11266" width="5.28515625" style="44" customWidth="1"/>
    <col min="11267" max="11267" width="9" style="44" customWidth="1"/>
    <col min="11268" max="11268" width="7.5703125" style="44" customWidth="1"/>
    <col min="11269" max="11269" width="10.85546875" style="44" customWidth="1"/>
    <col min="11270" max="11270" width="10.7109375" style="44" customWidth="1"/>
    <col min="11271" max="11271" width="10.140625" style="44" customWidth="1"/>
    <col min="11272" max="11272" width="14.42578125" style="44" customWidth="1"/>
    <col min="11273" max="11273" width="11.7109375" style="44" customWidth="1"/>
    <col min="11274" max="11274" width="10.28515625" style="44" customWidth="1"/>
    <col min="11275" max="11520" width="9.140625" style="44"/>
    <col min="11521" max="11521" width="3.5703125" style="44" customWidth="1"/>
    <col min="11522" max="11522" width="5.28515625" style="44" customWidth="1"/>
    <col min="11523" max="11523" width="9" style="44" customWidth="1"/>
    <col min="11524" max="11524" width="7.5703125" style="44" customWidth="1"/>
    <col min="11525" max="11525" width="10.85546875" style="44" customWidth="1"/>
    <col min="11526" max="11526" width="10.7109375" style="44" customWidth="1"/>
    <col min="11527" max="11527" width="10.140625" style="44" customWidth="1"/>
    <col min="11528" max="11528" width="14.42578125" style="44" customWidth="1"/>
    <col min="11529" max="11529" width="11.7109375" style="44" customWidth="1"/>
    <col min="11530" max="11530" width="10.28515625" style="44" customWidth="1"/>
    <col min="11531" max="11776" width="9.140625" style="44"/>
    <col min="11777" max="11777" width="3.5703125" style="44" customWidth="1"/>
    <col min="11778" max="11778" width="5.28515625" style="44" customWidth="1"/>
    <col min="11779" max="11779" width="9" style="44" customWidth="1"/>
    <col min="11780" max="11780" width="7.5703125" style="44" customWidth="1"/>
    <col min="11781" max="11781" width="10.85546875" style="44" customWidth="1"/>
    <col min="11782" max="11782" width="10.7109375" style="44" customWidth="1"/>
    <col min="11783" max="11783" width="10.140625" style="44" customWidth="1"/>
    <col min="11784" max="11784" width="14.42578125" style="44" customWidth="1"/>
    <col min="11785" max="11785" width="11.7109375" style="44" customWidth="1"/>
    <col min="11786" max="11786" width="10.28515625" style="44" customWidth="1"/>
    <col min="11787" max="12032" width="9.140625" style="44"/>
    <col min="12033" max="12033" width="3.5703125" style="44" customWidth="1"/>
    <col min="12034" max="12034" width="5.28515625" style="44" customWidth="1"/>
    <col min="12035" max="12035" width="9" style="44" customWidth="1"/>
    <col min="12036" max="12036" width="7.5703125" style="44" customWidth="1"/>
    <col min="12037" max="12037" width="10.85546875" style="44" customWidth="1"/>
    <col min="12038" max="12038" width="10.7109375" style="44" customWidth="1"/>
    <col min="12039" max="12039" width="10.140625" style="44" customWidth="1"/>
    <col min="12040" max="12040" width="14.42578125" style="44" customWidth="1"/>
    <col min="12041" max="12041" width="11.7109375" style="44" customWidth="1"/>
    <col min="12042" max="12042" width="10.28515625" style="44" customWidth="1"/>
    <col min="12043" max="12288" width="9.140625" style="44"/>
    <col min="12289" max="12289" width="3.5703125" style="44" customWidth="1"/>
    <col min="12290" max="12290" width="5.28515625" style="44" customWidth="1"/>
    <col min="12291" max="12291" width="9" style="44" customWidth="1"/>
    <col min="12292" max="12292" width="7.5703125" style="44" customWidth="1"/>
    <col min="12293" max="12293" width="10.85546875" style="44" customWidth="1"/>
    <col min="12294" max="12294" width="10.7109375" style="44" customWidth="1"/>
    <col min="12295" max="12295" width="10.140625" style="44" customWidth="1"/>
    <col min="12296" max="12296" width="14.42578125" style="44" customWidth="1"/>
    <col min="12297" max="12297" width="11.7109375" style="44" customWidth="1"/>
    <col min="12298" max="12298" width="10.28515625" style="44" customWidth="1"/>
    <col min="12299" max="12544" width="9.140625" style="44"/>
    <col min="12545" max="12545" width="3.5703125" style="44" customWidth="1"/>
    <col min="12546" max="12546" width="5.28515625" style="44" customWidth="1"/>
    <col min="12547" max="12547" width="9" style="44" customWidth="1"/>
    <col min="12548" max="12548" width="7.5703125" style="44" customWidth="1"/>
    <col min="12549" max="12549" width="10.85546875" style="44" customWidth="1"/>
    <col min="12550" max="12550" width="10.7109375" style="44" customWidth="1"/>
    <col min="12551" max="12551" width="10.140625" style="44" customWidth="1"/>
    <col min="12552" max="12552" width="14.42578125" style="44" customWidth="1"/>
    <col min="12553" max="12553" width="11.7109375" style="44" customWidth="1"/>
    <col min="12554" max="12554" width="10.28515625" style="44" customWidth="1"/>
    <col min="12555" max="12800" width="9.140625" style="44"/>
    <col min="12801" max="12801" width="3.5703125" style="44" customWidth="1"/>
    <col min="12802" max="12802" width="5.28515625" style="44" customWidth="1"/>
    <col min="12803" max="12803" width="9" style="44" customWidth="1"/>
    <col min="12804" max="12804" width="7.5703125" style="44" customWidth="1"/>
    <col min="12805" max="12805" width="10.85546875" style="44" customWidth="1"/>
    <col min="12806" max="12806" width="10.7109375" style="44" customWidth="1"/>
    <col min="12807" max="12807" width="10.140625" style="44" customWidth="1"/>
    <col min="12808" max="12808" width="14.42578125" style="44" customWidth="1"/>
    <col min="12809" max="12809" width="11.7109375" style="44" customWidth="1"/>
    <col min="12810" max="12810" width="10.28515625" style="44" customWidth="1"/>
    <col min="12811" max="13056" width="9.140625" style="44"/>
    <col min="13057" max="13057" width="3.5703125" style="44" customWidth="1"/>
    <col min="13058" max="13058" width="5.28515625" style="44" customWidth="1"/>
    <col min="13059" max="13059" width="9" style="44" customWidth="1"/>
    <col min="13060" max="13060" width="7.5703125" style="44" customWidth="1"/>
    <col min="13061" max="13061" width="10.85546875" style="44" customWidth="1"/>
    <col min="13062" max="13062" width="10.7109375" style="44" customWidth="1"/>
    <col min="13063" max="13063" width="10.140625" style="44" customWidth="1"/>
    <col min="13064" max="13064" width="14.42578125" style="44" customWidth="1"/>
    <col min="13065" max="13065" width="11.7109375" style="44" customWidth="1"/>
    <col min="13066" max="13066" width="10.28515625" style="44" customWidth="1"/>
    <col min="13067" max="13312" width="9.140625" style="44"/>
    <col min="13313" max="13313" width="3.5703125" style="44" customWidth="1"/>
    <col min="13314" max="13314" width="5.28515625" style="44" customWidth="1"/>
    <col min="13315" max="13315" width="9" style="44" customWidth="1"/>
    <col min="13316" max="13316" width="7.5703125" style="44" customWidth="1"/>
    <col min="13317" max="13317" width="10.85546875" style="44" customWidth="1"/>
    <col min="13318" max="13318" width="10.7109375" style="44" customWidth="1"/>
    <col min="13319" max="13319" width="10.140625" style="44" customWidth="1"/>
    <col min="13320" max="13320" width="14.42578125" style="44" customWidth="1"/>
    <col min="13321" max="13321" width="11.7109375" style="44" customWidth="1"/>
    <col min="13322" max="13322" width="10.28515625" style="44" customWidth="1"/>
    <col min="13323" max="13568" width="9.140625" style="44"/>
    <col min="13569" max="13569" width="3.5703125" style="44" customWidth="1"/>
    <col min="13570" max="13570" width="5.28515625" style="44" customWidth="1"/>
    <col min="13571" max="13571" width="9" style="44" customWidth="1"/>
    <col min="13572" max="13572" width="7.5703125" style="44" customWidth="1"/>
    <col min="13573" max="13573" width="10.85546875" style="44" customWidth="1"/>
    <col min="13574" max="13574" width="10.7109375" style="44" customWidth="1"/>
    <col min="13575" max="13575" width="10.140625" style="44" customWidth="1"/>
    <col min="13576" max="13576" width="14.42578125" style="44" customWidth="1"/>
    <col min="13577" max="13577" width="11.7109375" style="44" customWidth="1"/>
    <col min="13578" max="13578" width="10.28515625" style="44" customWidth="1"/>
    <col min="13579" max="13824" width="9.140625" style="44"/>
    <col min="13825" max="13825" width="3.5703125" style="44" customWidth="1"/>
    <col min="13826" max="13826" width="5.28515625" style="44" customWidth="1"/>
    <col min="13827" max="13827" width="9" style="44" customWidth="1"/>
    <col min="13828" max="13828" width="7.5703125" style="44" customWidth="1"/>
    <col min="13829" max="13829" width="10.85546875" style="44" customWidth="1"/>
    <col min="13830" max="13830" width="10.7109375" style="44" customWidth="1"/>
    <col min="13831" max="13831" width="10.140625" style="44" customWidth="1"/>
    <col min="13832" max="13832" width="14.42578125" style="44" customWidth="1"/>
    <col min="13833" max="13833" width="11.7109375" style="44" customWidth="1"/>
    <col min="13834" max="13834" width="10.28515625" style="44" customWidth="1"/>
    <col min="13835" max="14080" width="9.140625" style="44"/>
    <col min="14081" max="14081" width="3.5703125" style="44" customWidth="1"/>
    <col min="14082" max="14082" width="5.28515625" style="44" customWidth="1"/>
    <col min="14083" max="14083" width="9" style="44" customWidth="1"/>
    <col min="14084" max="14084" width="7.5703125" style="44" customWidth="1"/>
    <col min="14085" max="14085" width="10.85546875" style="44" customWidth="1"/>
    <col min="14086" max="14086" width="10.7109375" style="44" customWidth="1"/>
    <col min="14087" max="14087" width="10.140625" style="44" customWidth="1"/>
    <col min="14088" max="14088" width="14.42578125" style="44" customWidth="1"/>
    <col min="14089" max="14089" width="11.7109375" style="44" customWidth="1"/>
    <col min="14090" max="14090" width="10.28515625" style="44" customWidth="1"/>
    <col min="14091" max="14336" width="9.140625" style="44"/>
    <col min="14337" max="14337" width="3.5703125" style="44" customWidth="1"/>
    <col min="14338" max="14338" width="5.28515625" style="44" customWidth="1"/>
    <col min="14339" max="14339" width="9" style="44" customWidth="1"/>
    <col min="14340" max="14340" width="7.5703125" style="44" customWidth="1"/>
    <col min="14341" max="14341" width="10.85546875" style="44" customWidth="1"/>
    <col min="14342" max="14342" width="10.7109375" style="44" customWidth="1"/>
    <col min="14343" max="14343" width="10.140625" style="44" customWidth="1"/>
    <col min="14344" max="14344" width="14.42578125" style="44" customWidth="1"/>
    <col min="14345" max="14345" width="11.7109375" style="44" customWidth="1"/>
    <col min="14346" max="14346" width="10.28515625" style="44" customWidth="1"/>
    <col min="14347" max="14592" width="9.140625" style="44"/>
    <col min="14593" max="14593" width="3.5703125" style="44" customWidth="1"/>
    <col min="14594" max="14594" width="5.28515625" style="44" customWidth="1"/>
    <col min="14595" max="14595" width="9" style="44" customWidth="1"/>
    <col min="14596" max="14596" width="7.5703125" style="44" customWidth="1"/>
    <col min="14597" max="14597" width="10.85546875" style="44" customWidth="1"/>
    <col min="14598" max="14598" width="10.7109375" style="44" customWidth="1"/>
    <col min="14599" max="14599" width="10.140625" style="44" customWidth="1"/>
    <col min="14600" max="14600" width="14.42578125" style="44" customWidth="1"/>
    <col min="14601" max="14601" width="11.7109375" style="44" customWidth="1"/>
    <col min="14602" max="14602" width="10.28515625" style="44" customWidth="1"/>
    <col min="14603" max="14848" width="9.140625" style="44"/>
    <col min="14849" max="14849" width="3.5703125" style="44" customWidth="1"/>
    <col min="14850" max="14850" width="5.28515625" style="44" customWidth="1"/>
    <col min="14851" max="14851" width="9" style="44" customWidth="1"/>
    <col min="14852" max="14852" width="7.5703125" style="44" customWidth="1"/>
    <col min="14853" max="14853" width="10.85546875" style="44" customWidth="1"/>
    <col min="14854" max="14854" width="10.7109375" style="44" customWidth="1"/>
    <col min="14855" max="14855" width="10.140625" style="44" customWidth="1"/>
    <col min="14856" max="14856" width="14.42578125" style="44" customWidth="1"/>
    <col min="14857" max="14857" width="11.7109375" style="44" customWidth="1"/>
    <col min="14858" max="14858" width="10.28515625" style="44" customWidth="1"/>
    <col min="14859" max="15104" width="9.140625" style="44"/>
    <col min="15105" max="15105" width="3.5703125" style="44" customWidth="1"/>
    <col min="15106" max="15106" width="5.28515625" style="44" customWidth="1"/>
    <col min="15107" max="15107" width="9" style="44" customWidth="1"/>
    <col min="15108" max="15108" width="7.5703125" style="44" customWidth="1"/>
    <col min="15109" max="15109" width="10.85546875" style="44" customWidth="1"/>
    <col min="15110" max="15110" width="10.7109375" style="44" customWidth="1"/>
    <col min="15111" max="15111" width="10.140625" style="44" customWidth="1"/>
    <col min="15112" max="15112" width="14.42578125" style="44" customWidth="1"/>
    <col min="15113" max="15113" width="11.7109375" style="44" customWidth="1"/>
    <col min="15114" max="15114" width="10.28515625" style="44" customWidth="1"/>
    <col min="15115" max="15360" width="9.140625" style="44"/>
    <col min="15361" max="15361" width="3.5703125" style="44" customWidth="1"/>
    <col min="15362" max="15362" width="5.28515625" style="44" customWidth="1"/>
    <col min="15363" max="15363" width="9" style="44" customWidth="1"/>
    <col min="15364" max="15364" width="7.5703125" style="44" customWidth="1"/>
    <col min="15365" max="15365" width="10.85546875" style="44" customWidth="1"/>
    <col min="15366" max="15366" width="10.7109375" style="44" customWidth="1"/>
    <col min="15367" max="15367" width="10.140625" style="44" customWidth="1"/>
    <col min="15368" max="15368" width="14.42578125" style="44" customWidth="1"/>
    <col min="15369" max="15369" width="11.7109375" style="44" customWidth="1"/>
    <col min="15370" max="15370" width="10.28515625" style="44" customWidth="1"/>
    <col min="15371" max="15616" width="9.140625" style="44"/>
    <col min="15617" max="15617" width="3.5703125" style="44" customWidth="1"/>
    <col min="15618" max="15618" width="5.28515625" style="44" customWidth="1"/>
    <col min="15619" max="15619" width="9" style="44" customWidth="1"/>
    <col min="15620" max="15620" width="7.5703125" style="44" customWidth="1"/>
    <col min="15621" max="15621" width="10.85546875" style="44" customWidth="1"/>
    <col min="15622" max="15622" width="10.7109375" style="44" customWidth="1"/>
    <col min="15623" max="15623" width="10.140625" style="44" customWidth="1"/>
    <col min="15624" max="15624" width="14.42578125" style="44" customWidth="1"/>
    <col min="15625" max="15625" width="11.7109375" style="44" customWidth="1"/>
    <col min="15626" max="15626" width="10.28515625" style="44" customWidth="1"/>
    <col min="15627" max="15872" width="9.140625" style="44"/>
    <col min="15873" max="15873" width="3.5703125" style="44" customWidth="1"/>
    <col min="15874" max="15874" width="5.28515625" style="44" customWidth="1"/>
    <col min="15875" max="15875" width="9" style="44" customWidth="1"/>
    <col min="15876" max="15876" width="7.5703125" style="44" customWidth="1"/>
    <col min="15877" max="15877" width="10.85546875" style="44" customWidth="1"/>
    <col min="15878" max="15878" width="10.7109375" style="44" customWidth="1"/>
    <col min="15879" max="15879" width="10.140625" style="44" customWidth="1"/>
    <col min="15880" max="15880" width="14.42578125" style="44" customWidth="1"/>
    <col min="15881" max="15881" width="11.7109375" style="44" customWidth="1"/>
    <col min="15882" max="15882" width="10.28515625" style="44" customWidth="1"/>
    <col min="15883" max="16128" width="9.140625" style="44"/>
    <col min="16129" max="16129" width="3.5703125" style="44" customWidth="1"/>
    <col min="16130" max="16130" width="5.28515625" style="44" customWidth="1"/>
    <col min="16131" max="16131" width="9" style="44" customWidth="1"/>
    <col min="16132" max="16132" width="7.5703125" style="44" customWidth="1"/>
    <col min="16133" max="16133" width="10.85546875" style="44" customWidth="1"/>
    <col min="16134" max="16134" width="10.7109375" style="44" customWidth="1"/>
    <col min="16135" max="16135" width="10.140625" style="44" customWidth="1"/>
    <col min="16136" max="16136" width="14.42578125" style="44" customWidth="1"/>
    <col min="16137" max="16137" width="11.7109375" style="44" customWidth="1"/>
    <col min="16138" max="16138" width="10.28515625" style="44" customWidth="1"/>
    <col min="16139" max="16384" width="9.140625" style="44"/>
  </cols>
  <sheetData>
    <row r="2" spans="1:10" ht="15.75" x14ac:dyDescent="0.25">
      <c r="B2" s="669" t="s">
        <v>291</v>
      </c>
      <c r="C2" s="585"/>
      <c r="D2" s="586"/>
      <c r="E2" s="587"/>
      <c r="F2" s="587"/>
      <c r="G2" s="587"/>
      <c r="H2" s="587"/>
      <c r="I2" s="587"/>
      <c r="J2" s="587"/>
    </row>
    <row r="3" spans="1:10" ht="15.75" x14ac:dyDescent="0.25">
      <c r="B3" s="235"/>
      <c r="C3" s="585"/>
      <c r="D3" s="586"/>
      <c r="E3" s="587"/>
      <c r="F3" s="587"/>
      <c r="G3" s="587"/>
      <c r="H3" s="587"/>
      <c r="I3" s="587"/>
      <c r="J3" s="587"/>
    </row>
    <row r="4" spans="1:10" ht="16.5" thickBot="1" x14ac:dyDescent="0.3">
      <c r="B4" s="235"/>
      <c r="C4" s="590"/>
      <c r="D4" s="670"/>
      <c r="E4" s="592"/>
      <c r="F4" s="592"/>
      <c r="G4" s="592"/>
      <c r="H4" s="592"/>
      <c r="I4" s="592"/>
      <c r="J4" s="592"/>
    </row>
    <row r="5" spans="1:10" ht="30.75" thickBot="1" x14ac:dyDescent="0.3">
      <c r="B5" s="593"/>
      <c r="C5" s="594"/>
      <c r="D5" s="595"/>
      <c r="E5" s="596"/>
      <c r="F5" s="596"/>
      <c r="G5" s="596"/>
      <c r="H5" s="596"/>
      <c r="I5" s="597" t="s">
        <v>255</v>
      </c>
      <c r="J5" s="596"/>
    </row>
    <row r="6" spans="1:10" x14ac:dyDescent="0.25">
      <c r="B6" s="593"/>
      <c r="C6" s="594"/>
      <c r="D6" s="598" t="s">
        <v>256</v>
      </c>
      <c r="E6" s="599"/>
      <c r="F6" s="599"/>
      <c r="G6" s="600"/>
      <c r="H6" s="601" t="s">
        <v>256</v>
      </c>
      <c r="I6" s="688">
        <f>Parameters!M21</f>
        <v>0.15</v>
      </c>
      <c r="J6" s="596"/>
    </row>
    <row r="7" spans="1:10" ht="15.75" thickBot="1" x14ac:dyDescent="0.3">
      <c r="B7" s="593"/>
      <c r="C7" s="594"/>
      <c r="D7" s="603" t="s">
        <v>257</v>
      </c>
      <c r="E7" s="604"/>
      <c r="F7" s="604"/>
      <c r="G7" s="605"/>
      <c r="H7" s="606" t="s">
        <v>257</v>
      </c>
      <c r="I7" s="607">
        <f>DOCF</f>
        <v>0.5</v>
      </c>
      <c r="J7" s="596"/>
    </row>
    <row r="8" spans="1:10" x14ac:dyDescent="0.25">
      <c r="D8" s="598" t="s">
        <v>258</v>
      </c>
      <c r="E8" s="599"/>
      <c r="F8" s="599"/>
      <c r="G8" s="600"/>
      <c r="H8" s="601" t="s">
        <v>259</v>
      </c>
      <c r="I8" s="608">
        <f>Parameters!M35</f>
        <v>0.09</v>
      </c>
      <c r="J8" s="609"/>
    </row>
    <row r="9" spans="1:10" ht="15.75" x14ac:dyDescent="0.3">
      <c r="D9" s="610" t="s">
        <v>260</v>
      </c>
      <c r="E9" s="611"/>
      <c r="F9" s="611"/>
      <c r="G9" s="612"/>
      <c r="H9" s="613" t="s">
        <v>261</v>
      </c>
      <c r="I9" s="614">
        <f>LN(2)/$I$8</f>
        <v>7.7016353395549482</v>
      </c>
      <c r="J9" s="609"/>
    </row>
    <row r="10" spans="1:10" x14ac:dyDescent="0.25">
      <c r="D10" s="615" t="s">
        <v>262</v>
      </c>
      <c r="E10" s="616"/>
      <c r="F10" s="616"/>
      <c r="G10" s="617"/>
      <c r="H10" s="618" t="s">
        <v>263</v>
      </c>
      <c r="I10" s="619">
        <f>EXP(-$I$8)</f>
        <v>0.91393118527122819</v>
      </c>
      <c r="J10" s="609"/>
    </row>
    <row r="11" spans="1:10" x14ac:dyDescent="0.25">
      <c r="D11" s="615" t="s">
        <v>264</v>
      </c>
      <c r="E11" s="616"/>
      <c r="F11" s="616"/>
      <c r="G11" s="617"/>
      <c r="H11" s="618" t="s">
        <v>265</v>
      </c>
      <c r="I11" s="619">
        <f>Parameters!E37+7</f>
        <v>13</v>
      </c>
      <c r="J11" s="609"/>
    </row>
    <row r="12" spans="1:10" ht="15.75" thickBot="1" x14ac:dyDescent="0.3">
      <c r="D12" s="620" t="s">
        <v>266</v>
      </c>
      <c r="E12" s="621"/>
      <c r="F12" s="621"/>
      <c r="G12" s="622"/>
      <c r="H12" s="623" t="s">
        <v>267</v>
      </c>
      <c r="I12" s="624">
        <f>EXP(-$I$8*((13-I11)/12))</f>
        <v>1</v>
      </c>
      <c r="J12" s="609"/>
    </row>
    <row r="13" spans="1:10" ht="15.75" thickBot="1" x14ac:dyDescent="0.3">
      <c r="C13" s="625"/>
      <c r="D13" s="626" t="s">
        <v>268</v>
      </c>
      <c r="E13" s="627"/>
      <c r="F13" s="627"/>
      <c r="G13" s="628"/>
      <c r="H13" s="629" t="s">
        <v>123</v>
      </c>
      <c r="I13" s="630">
        <f>CH4_fraction</f>
        <v>0.55000000000000004</v>
      </c>
      <c r="J13" s="609"/>
    </row>
    <row r="14" spans="1:10" ht="15.75" thickBot="1" x14ac:dyDescent="0.3">
      <c r="E14" s="609"/>
      <c r="F14" s="609"/>
      <c r="G14" s="609"/>
      <c r="H14" s="609"/>
      <c r="I14" s="609"/>
      <c r="J14" s="609"/>
    </row>
    <row r="15" spans="1:10" ht="75" x14ac:dyDescent="0.25">
      <c r="B15" s="632" t="s">
        <v>66</v>
      </c>
      <c r="C15" s="633" t="s">
        <v>269</v>
      </c>
      <c r="D15" s="634" t="s">
        <v>60</v>
      </c>
      <c r="E15" s="635" t="s">
        <v>270</v>
      </c>
      <c r="F15" s="635" t="s">
        <v>271</v>
      </c>
      <c r="G15" s="635" t="s">
        <v>272</v>
      </c>
      <c r="H15" s="635" t="s">
        <v>273</v>
      </c>
      <c r="I15" s="635" t="s">
        <v>274</v>
      </c>
      <c r="J15" s="636" t="s">
        <v>275</v>
      </c>
    </row>
    <row r="16" spans="1:10" ht="23.25" x14ac:dyDescent="0.25">
      <c r="A16" s="637"/>
      <c r="B16" s="638"/>
      <c r="C16" s="639" t="s">
        <v>276</v>
      </c>
      <c r="D16" s="640" t="s">
        <v>60</v>
      </c>
      <c r="E16" s="641" t="s">
        <v>277</v>
      </c>
      <c r="F16" s="641" t="s">
        <v>278</v>
      </c>
      <c r="G16" s="641" t="s">
        <v>279</v>
      </c>
      <c r="H16" s="641" t="s">
        <v>280</v>
      </c>
      <c r="I16" s="641" t="s">
        <v>281</v>
      </c>
      <c r="J16" s="642" t="s">
        <v>282</v>
      </c>
    </row>
    <row r="17" spans="2:10" ht="30.75" thickBot="1" x14ac:dyDescent="0.3">
      <c r="B17" s="262"/>
      <c r="C17" s="643" t="s">
        <v>93</v>
      </c>
      <c r="D17" s="644" t="s">
        <v>283</v>
      </c>
      <c r="E17" s="645" t="s">
        <v>93</v>
      </c>
      <c r="F17" s="645" t="s">
        <v>93</v>
      </c>
      <c r="G17" s="645" t="s">
        <v>93</v>
      </c>
      <c r="H17" s="645" t="s">
        <v>93</v>
      </c>
      <c r="I17" s="645" t="s">
        <v>93</v>
      </c>
      <c r="J17" s="646" t="s">
        <v>93</v>
      </c>
    </row>
    <row r="18" spans="2:10" ht="15.75" thickBot="1" x14ac:dyDescent="0.3">
      <c r="B18" s="647"/>
      <c r="C18" s="648"/>
      <c r="D18" s="649"/>
      <c r="E18" s="650"/>
      <c r="F18" s="651"/>
      <c r="G18" s="651"/>
      <c r="H18" s="651"/>
      <c r="I18" s="651"/>
      <c r="J18" s="652"/>
    </row>
    <row r="19" spans="2:10" x14ac:dyDescent="0.25">
      <c r="B19" s="653">
        <f>Amnt_Deposited!B11</f>
        <v>1950</v>
      </c>
      <c r="C19" s="654">
        <f>Amnt_Deposited!L11</f>
        <v>0</v>
      </c>
      <c r="D19" s="683">
        <f>MCF!S18</f>
        <v>1</v>
      </c>
      <c r="E19" s="656">
        <f>C19*$I$6*DOCF*D19</f>
        <v>0</v>
      </c>
      <c r="F19" s="657">
        <f t="shared" ref="F19:F82" si="0">E19*$I$12</f>
        <v>0</v>
      </c>
      <c r="G19" s="657">
        <f>E19*(1-$I$12)</f>
        <v>0</v>
      </c>
      <c r="H19" s="657">
        <f>F19+H18*$I$10</f>
        <v>0</v>
      </c>
      <c r="I19" s="657">
        <f>H18*(1-$I$10)+G19</f>
        <v>0</v>
      </c>
      <c r="J19" s="658">
        <f>I19*CH4_fraction*conv</f>
        <v>0</v>
      </c>
    </row>
    <row r="20" spans="2:10" x14ac:dyDescent="0.25">
      <c r="B20" s="659">
        <f>Amnt_Deposited!B12</f>
        <v>1951</v>
      </c>
      <c r="C20" s="660">
        <f>Amnt_Deposited!L12</f>
        <v>0</v>
      </c>
      <c r="D20" s="685">
        <f>MCF!S19</f>
        <v>1</v>
      </c>
      <c r="E20" s="662">
        <f t="shared" ref="E20:E83" si="1">C20*$I$6*DOCF*D20</f>
        <v>0</v>
      </c>
      <c r="F20" s="662">
        <f t="shared" si="0"/>
        <v>0</v>
      </c>
      <c r="G20" s="662">
        <f t="shared" ref="G20:G83" si="2">E20*(1-$I$12)</f>
        <v>0</v>
      </c>
      <c r="H20" s="662">
        <f t="shared" ref="H20:H83" si="3">F20+H19*$I$10</f>
        <v>0</v>
      </c>
      <c r="I20" s="662">
        <f t="shared" ref="I20:I83" si="4">H19*(1-$I$10)+G20</f>
        <v>0</v>
      </c>
      <c r="J20" s="663">
        <f>I20*CH4_fraction*conv</f>
        <v>0</v>
      </c>
    </row>
    <row r="21" spans="2:10" x14ac:dyDescent="0.25">
      <c r="B21" s="659">
        <f>Amnt_Deposited!B13</f>
        <v>1952</v>
      </c>
      <c r="C21" s="660">
        <f>Amnt_Deposited!L13</f>
        <v>0</v>
      </c>
      <c r="D21" s="685">
        <f>MCF!S20</f>
        <v>1</v>
      </c>
      <c r="E21" s="662">
        <f t="shared" si="1"/>
        <v>0</v>
      </c>
      <c r="F21" s="662">
        <f t="shared" si="0"/>
        <v>0</v>
      </c>
      <c r="G21" s="662">
        <f t="shared" si="2"/>
        <v>0</v>
      </c>
      <c r="H21" s="662">
        <f t="shared" si="3"/>
        <v>0</v>
      </c>
      <c r="I21" s="662">
        <f t="shared" si="4"/>
        <v>0</v>
      </c>
      <c r="J21" s="663">
        <f t="shared" ref="J21:J84" si="5">I21*CH4_fraction*conv</f>
        <v>0</v>
      </c>
    </row>
    <row r="22" spans="2:10" x14ac:dyDescent="0.25">
      <c r="B22" s="659">
        <f>Amnt_Deposited!B14</f>
        <v>1953</v>
      </c>
      <c r="C22" s="660">
        <f>Amnt_Deposited!L14</f>
        <v>0</v>
      </c>
      <c r="D22" s="685">
        <f>MCF!S21</f>
        <v>1</v>
      </c>
      <c r="E22" s="662">
        <f t="shared" si="1"/>
        <v>0</v>
      </c>
      <c r="F22" s="662">
        <f t="shared" si="0"/>
        <v>0</v>
      </c>
      <c r="G22" s="662">
        <f t="shared" si="2"/>
        <v>0</v>
      </c>
      <c r="H22" s="662">
        <f t="shared" si="3"/>
        <v>0</v>
      </c>
      <c r="I22" s="662">
        <f t="shared" si="4"/>
        <v>0</v>
      </c>
      <c r="J22" s="663">
        <f t="shared" si="5"/>
        <v>0</v>
      </c>
    </row>
    <row r="23" spans="2:10" x14ac:dyDescent="0.25">
      <c r="B23" s="659">
        <f>Amnt_Deposited!B15</f>
        <v>1954</v>
      </c>
      <c r="C23" s="660">
        <f>Amnt_Deposited!L15</f>
        <v>0</v>
      </c>
      <c r="D23" s="685">
        <f>MCF!S22</f>
        <v>1</v>
      </c>
      <c r="E23" s="662">
        <f t="shared" si="1"/>
        <v>0</v>
      </c>
      <c r="F23" s="662">
        <f t="shared" si="0"/>
        <v>0</v>
      </c>
      <c r="G23" s="662">
        <f t="shared" si="2"/>
        <v>0</v>
      </c>
      <c r="H23" s="662">
        <f t="shared" si="3"/>
        <v>0</v>
      </c>
      <c r="I23" s="662">
        <f t="shared" si="4"/>
        <v>0</v>
      </c>
      <c r="J23" s="663">
        <f t="shared" si="5"/>
        <v>0</v>
      </c>
    </row>
    <row r="24" spans="2:10" x14ac:dyDescent="0.25">
      <c r="B24" s="659">
        <f>Amnt_Deposited!B16</f>
        <v>1955</v>
      </c>
      <c r="C24" s="660">
        <f>Amnt_Deposited!L16</f>
        <v>0</v>
      </c>
      <c r="D24" s="685">
        <f>MCF!S23</f>
        <v>1</v>
      </c>
      <c r="E24" s="662">
        <f t="shared" si="1"/>
        <v>0</v>
      </c>
      <c r="F24" s="662">
        <f t="shared" si="0"/>
        <v>0</v>
      </c>
      <c r="G24" s="662">
        <f t="shared" si="2"/>
        <v>0</v>
      </c>
      <c r="H24" s="662">
        <f t="shared" si="3"/>
        <v>0</v>
      </c>
      <c r="I24" s="662">
        <f t="shared" si="4"/>
        <v>0</v>
      </c>
      <c r="J24" s="663">
        <f t="shared" si="5"/>
        <v>0</v>
      </c>
    </row>
    <row r="25" spans="2:10" x14ac:dyDescent="0.25">
      <c r="B25" s="659">
        <f>Amnt_Deposited!B17</f>
        <v>1956</v>
      </c>
      <c r="C25" s="660">
        <f>Amnt_Deposited!L17</f>
        <v>0</v>
      </c>
      <c r="D25" s="685">
        <f>MCF!S24</f>
        <v>1</v>
      </c>
      <c r="E25" s="662">
        <f t="shared" si="1"/>
        <v>0</v>
      </c>
      <c r="F25" s="662">
        <f t="shared" si="0"/>
        <v>0</v>
      </c>
      <c r="G25" s="662">
        <f t="shared" si="2"/>
        <v>0</v>
      </c>
      <c r="H25" s="662">
        <f t="shared" si="3"/>
        <v>0</v>
      </c>
      <c r="I25" s="662">
        <f t="shared" si="4"/>
        <v>0</v>
      </c>
      <c r="J25" s="663">
        <f t="shared" si="5"/>
        <v>0</v>
      </c>
    </row>
    <row r="26" spans="2:10" x14ac:dyDescent="0.25">
      <c r="B26" s="659">
        <f>Amnt_Deposited!B18</f>
        <v>1957</v>
      </c>
      <c r="C26" s="660">
        <f>Amnt_Deposited!L18</f>
        <v>0</v>
      </c>
      <c r="D26" s="685">
        <f>MCF!S25</f>
        <v>1</v>
      </c>
      <c r="E26" s="662">
        <f t="shared" si="1"/>
        <v>0</v>
      </c>
      <c r="F26" s="662">
        <f t="shared" si="0"/>
        <v>0</v>
      </c>
      <c r="G26" s="662">
        <f t="shared" si="2"/>
        <v>0</v>
      </c>
      <c r="H26" s="662">
        <f t="shared" si="3"/>
        <v>0</v>
      </c>
      <c r="I26" s="662">
        <f t="shared" si="4"/>
        <v>0</v>
      </c>
      <c r="J26" s="663">
        <f t="shared" si="5"/>
        <v>0</v>
      </c>
    </row>
    <row r="27" spans="2:10" x14ac:dyDescent="0.25">
      <c r="B27" s="659">
        <f>Amnt_Deposited!B19</f>
        <v>1958</v>
      </c>
      <c r="C27" s="660">
        <f>Amnt_Deposited!L19</f>
        <v>0</v>
      </c>
      <c r="D27" s="685">
        <f>MCF!S26</f>
        <v>1</v>
      </c>
      <c r="E27" s="662">
        <f t="shared" si="1"/>
        <v>0</v>
      </c>
      <c r="F27" s="662">
        <f t="shared" si="0"/>
        <v>0</v>
      </c>
      <c r="G27" s="662">
        <f t="shared" si="2"/>
        <v>0</v>
      </c>
      <c r="H27" s="662">
        <f t="shared" si="3"/>
        <v>0</v>
      </c>
      <c r="I27" s="662">
        <f t="shared" si="4"/>
        <v>0</v>
      </c>
      <c r="J27" s="663">
        <f t="shared" si="5"/>
        <v>0</v>
      </c>
    </row>
    <row r="28" spans="2:10" x14ac:dyDescent="0.25">
      <c r="B28" s="659">
        <f>Amnt_Deposited!B20</f>
        <v>1959</v>
      </c>
      <c r="C28" s="660">
        <f>Amnt_Deposited!L20</f>
        <v>0</v>
      </c>
      <c r="D28" s="685">
        <f>MCF!S27</f>
        <v>1</v>
      </c>
      <c r="E28" s="662">
        <f t="shared" si="1"/>
        <v>0</v>
      </c>
      <c r="F28" s="662">
        <f t="shared" si="0"/>
        <v>0</v>
      </c>
      <c r="G28" s="662">
        <f t="shared" si="2"/>
        <v>0</v>
      </c>
      <c r="H28" s="662">
        <f t="shared" si="3"/>
        <v>0</v>
      </c>
      <c r="I28" s="662">
        <f t="shared" si="4"/>
        <v>0</v>
      </c>
      <c r="J28" s="663">
        <f t="shared" si="5"/>
        <v>0</v>
      </c>
    </row>
    <row r="29" spans="2:10" x14ac:dyDescent="0.25">
      <c r="B29" s="659">
        <f>Amnt_Deposited!B21</f>
        <v>1960</v>
      </c>
      <c r="C29" s="660">
        <f>Amnt_Deposited!L21</f>
        <v>0</v>
      </c>
      <c r="D29" s="685">
        <f>MCF!S28</f>
        <v>1</v>
      </c>
      <c r="E29" s="662">
        <f t="shared" si="1"/>
        <v>0</v>
      </c>
      <c r="F29" s="662">
        <f t="shared" si="0"/>
        <v>0</v>
      </c>
      <c r="G29" s="662">
        <f t="shared" si="2"/>
        <v>0</v>
      </c>
      <c r="H29" s="662">
        <f t="shared" si="3"/>
        <v>0</v>
      </c>
      <c r="I29" s="662">
        <f t="shared" si="4"/>
        <v>0</v>
      </c>
      <c r="J29" s="663">
        <f t="shared" si="5"/>
        <v>0</v>
      </c>
    </row>
    <row r="30" spans="2:10" x14ac:dyDescent="0.25">
      <c r="B30" s="659">
        <f>Amnt_Deposited!B22</f>
        <v>1961</v>
      </c>
      <c r="C30" s="660">
        <f>Amnt_Deposited!L22</f>
        <v>0</v>
      </c>
      <c r="D30" s="685">
        <f>MCF!S29</f>
        <v>1</v>
      </c>
      <c r="E30" s="662">
        <f t="shared" si="1"/>
        <v>0</v>
      </c>
      <c r="F30" s="662">
        <f t="shared" si="0"/>
        <v>0</v>
      </c>
      <c r="G30" s="662">
        <f t="shared" si="2"/>
        <v>0</v>
      </c>
      <c r="H30" s="662">
        <f t="shared" si="3"/>
        <v>0</v>
      </c>
      <c r="I30" s="662">
        <f t="shared" si="4"/>
        <v>0</v>
      </c>
      <c r="J30" s="663">
        <f t="shared" si="5"/>
        <v>0</v>
      </c>
    </row>
    <row r="31" spans="2:10" x14ac:dyDescent="0.25">
      <c r="B31" s="659">
        <f>Amnt_Deposited!B23</f>
        <v>1962</v>
      </c>
      <c r="C31" s="660">
        <f>Amnt_Deposited!L23</f>
        <v>0</v>
      </c>
      <c r="D31" s="685">
        <f>MCF!S30</f>
        <v>1</v>
      </c>
      <c r="E31" s="662">
        <f t="shared" si="1"/>
        <v>0</v>
      </c>
      <c r="F31" s="662">
        <f t="shared" si="0"/>
        <v>0</v>
      </c>
      <c r="G31" s="662">
        <f t="shared" si="2"/>
        <v>0</v>
      </c>
      <c r="H31" s="662">
        <f t="shared" si="3"/>
        <v>0</v>
      </c>
      <c r="I31" s="662">
        <f t="shared" si="4"/>
        <v>0</v>
      </c>
      <c r="J31" s="663">
        <f t="shared" si="5"/>
        <v>0</v>
      </c>
    </row>
    <row r="32" spans="2:10" x14ac:dyDescent="0.25">
      <c r="B32" s="659">
        <f>Amnt_Deposited!B24</f>
        <v>1963</v>
      </c>
      <c r="C32" s="660">
        <f>Amnt_Deposited!L24</f>
        <v>0</v>
      </c>
      <c r="D32" s="685">
        <f>MCF!S31</f>
        <v>1</v>
      </c>
      <c r="E32" s="662">
        <f t="shared" si="1"/>
        <v>0</v>
      </c>
      <c r="F32" s="662">
        <f t="shared" si="0"/>
        <v>0</v>
      </c>
      <c r="G32" s="662">
        <f t="shared" si="2"/>
        <v>0</v>
      </c>
      <c r="H32" s="662">
        <f t="shared" si="3"/>
        <v>0</v>
      </c>
      <c r="I32" s="662">
        <f t="shared" si="4"/>
        <v>0</v>
      </c>
      <c r="J32" s="663">
        <f t="shared" si="5"/>
        <v>0</v>
      </c>
    </row>
    <row r="33" spans="2:10" x14ac:dyDescent="0.25">
      <c r="B33" s="659">
        <f>Amnt_Deposited!B25</f>
        <v>1964</v>
      </c>
      <c r="C33" s="660">
        <f>Amnt_Deposited!L25</f>
        <v>0</v>
      </c>
      <c r="D33" s="685">
        <f>MCF!S32</f>
        <v>1</v>
      </c>
      <c r="E33" s="662">
        <f t="shared" si="1"/>
        <v>0</v>
      </c>
      <c r="F33" s="662">
        <f t="shared" si="0"/>
        <v>0</v>
      </c>
      <c r="G33" s="662">
        <f t="shared" si="2"/>
        <v>0</v>
      </c>
      <c r="H33" s="662">
        <f t="shared" si="3"/>
        <v>0</v>
      </c>
      <c r="I33" s="662">
        <f t="shared" si="4"/>
        <v>0</v>
      </c>
      <c r="J33" s="663">
        <f t="shared" si="5"/>
        <v>0</v>
      </c>
    </row>
    <row r="34" spans="2:10" x14ac:dyDescent="0.25">
      <c r="B34" s="659">
        <f>Amnt_Deposited!B26</f>
        <v>1965</v>
      </c>
      <c r="C34" s="660">
        <f>Amnt_Deposited!L26</f>
        <v>0</v>
      </c>
      <c r="D34" s="685">
        <f>MCF!S33</f>
        <v>0.6</v>
      </c>
      <c r="E34" s="662">
        <f t="shared" si="1"/>
        <v>0</v>
      </c>
      <c r="F34" s="662">
        <f t="shared" si="0"/>
        <v>0</v>
      </c>
      <c r="G34" s="662">
        <f t="shared" si="2"/>
        <v>0</v>
      </c>
      <c r="H34" s="662">
        <f t="shared" si="3"/>
        <v>0</v>
      </c>
      <c r="I34" s="662">
        <f t="shared" si="4"/>
        <v>0</v>
      </c>
      <c r="J34" s="663">
        <f t="shared" si="5"/>
        <v>0</v>
      </c>
    </row>
    <row r="35" spans="2:10" x14ac:dyDescent="0.25">
      <c r="B35" s="659">
        <f>Amnt_Deposited!B27</f>
        <v>1966</v>
      </c>
      <c r="C35" s="660">
        <f>Amnt_Deposited!L27</f>
        <v>0</v>
      </c>
      <c r="D35" s="685">
        <f>MCF!S34</f>
        <v>0.6</v>
      </c>
      <c r="E35" s="662">
        <f t="shared" si="1"/>
        <v>0</v>
      </c>
      <c r="F35" s="662">
        <f t="shared" si="0"/>
        <v>0</v>
      </c>
      <c r="G35" s="662">
        <f t="shared" si="2"/>
        <v>0</v>
      </c>
      <c r="H35" s="662">
        <f t="shared" si="3"/>
        <v>0</v>
      </c>
      <c r="I35" s="662">
        <f t="shared" si="4"/>
        <v>0</v>
      </c>
      <c r="J35" s="663">
        <f t="shared" si="5"/>
        <v>0</v>
      </c>
    </row>
    <row r="36" spans="2:10" x14ac:dyDescent="0.25">
      <c r="B36" s="659">
        <f>Amnt_Deposited!B28</f>
        <v>1967</v>
      </c>
      <c r="C36" s="660">
        <f>Amnt_Deposited!L28</f>
        <v>0</v>
      </c>
      <c r="D36" s="685">
        <f>MCF!S35</f>
        <v>0.6</v>
      </c>
      <c r="E36" s="662">
        <f t="shared" si="1"/>
        <v>0</v>
      </c>
      <c r="F36" s="662">
        <f t="shared" si="0"/>
        <v>0</v>
      </c>
      <c r="G36" s="662">
        <f t="shared" si="2"/>
        <v>0</v>
      </c>
      <c r="H36" s="662">
        <f t="shared" si="3"/>
        <v>0</v>
      </c>
      <c r="I36" s="662">
        <f t="shared" si="4"/>
        <v>0</v>
      </c>
      <c r="J36" s="663">
        <f t="shared" si="5"/>
        <v>0</v>
      </c>
    </row>
    <row r="37" spans="2:10" x14ac:dyDescent="0.25">
      <c r="B37" s="659">
        <f>Amnt_Deposited!B29</f>
        <v>1968</v>
      </c>
      <c r="C37" s="660">
        <f>Amnt_Deposited!L29</f>
        <v>0</v>
      </c>
      <c r="D37" s="685">
        <f>MCF!S36</f>
        <v>0.6</v>
      </c>
      <c r="E37" s="662">
        <f t="shared" si="1"/>
        <v>0</v>
      </c>
      <c r="F37" s="662">
        <f t="shared" si="0"/>
        <v>0</v>
      </c>
      <c r="G37" s="662">
        <f t="shared" si="2"/>
        <v>0</v>
      </c>
      <c r="H37" s="662">
        <f t="shared" si="3"/>
        <v>0</v>
      </c>
      <c r="I37" s="662">
        <f t="shared" si="4"/>
        <v>0</v>
      </c>
      <c r="J37" s="663">
        <f t="shared" si="5"/>
        <v>0</v>
      </c>
    </row>
    <row r="38" spans="2:10" x14ac:dyDescent="0.25">
      <c r="B38" s="659">
        <f>Amnt_Deposited!B30</f>
        <v>1969</v>
      </c>
      <c r="C38" s="660">
        <f>Amnt_Deposited!L30</f>
        <v>0</v>
      </c>
      <c r="D38" s="685">
        <f>MCF!S37</f>
        <v>0.6</v>
      </c>
      <c r="E38" s="662">
        <f t="shared" si="1"/>
        <v>0</v>
      </c>
      <c r="F38" s="662">
        <f t="shared" si="0"/>
        <v>0</v>
      </c>
      <c r="G38" s="662">
        <f t="shared" si="2"/>
        <v>0</v>
      </c>
      <c r="H38" s="662">
        <f t="shared" si="3"/>
        <v>0</v>
      </c>
      <c r="I38" s="662">
        <f t="shared" si="4"/>
        <v>0</v>
      </c>
      <c r="J38" s="663">
        <f t="shared" si="5"/>
        <v>0</v>
      </c>
    </row>
    <row r="39" spans="2:10" x14ac:dyDescent="0.25">
      <c r="B39" s="659">
        <f>Amnt_Deposited!B31</f>
        <v>1970</v>
      </c>
      <c r="C39" s="660">
        <f>Amnt_Deposited!L31</f>
        <v>0</v>
      </c>
      <c r="D39" s="685">
        <f>MCF!S38</f>
        <v>0.8</v>
      </c>
      <c r="E39" s="662">
        <f t="shared" si="1"/>
        <v>0</v>
      </c>
      <c r="F39" s="662">
        <f t="shared" si="0"/>
        <v>0</v>
      </c>
      <c r="G39" s="662">
        <f t="shared" si="2"/>
        <v>0</v>
      </c>
      <c r="H39" s="662">
        <f t="shared" si="3"/>
        <v>0</v>
      </c>
      <c r="I39" s="662">
        <f t="shared" si="4"/>
        <v>0</v>
      </c>
      <c r="J39" s="663">
        <f t="shared" si="5"/>
        <v>0</v>
      </c>
    </row>
    <row r="40" spans="2:10" x14ac:dyDescent="0.25">
      <c r="B40" s="659">
        <f>Amnt_Deposited!B32</f>
        <v>1971</v>
      </c>
      <c r="C40" s="660">
        <f>Amnt_Deposited!L32</f>
        <v>0</v>
      </c>
      <c r="D40" s="685">
        <f>MCF!S39</f>
        <v>0.8</v>
      </c>
      <c r="E40" s="662">
        <f t="shared" si="1"/>
        <v>0</v>
      </c>
      <c r="F40" s="662">
        <f t="shared" si="0"/>
        <v>0</v>
      </c>
      <c r="G40" s="662">
        <f t="shared" si="2"/>
        <v>0</v>
      </c>
      <c r="H40" s="662">
        <f t="shared" si="3"/>
        <v>0</v>
      </c>
      <c r="I40" s="662">
        <f t="shared" si="4"/>
        <v>0</v>
      </c>
      <c r="J40" s="663">
        <f t="shared" si="5"/>
        <v>0</v>
      </c>
    </row>
    <row r="41" spans="2:10" x14ac:dyDescent="0.25">
      <c r="B41" s="659">
        <f>Amnt_Deposited!B33</f>
        <v>1972</v>
      </c>
      <c r="C41" s="660">
        <f>Amnt_Deposited!L33</f>
        <v>0</v>
      </c>
      <c r="D41" s="685">
        <f>MCF!S40</f>
        <v>0.8</v>
      </c>
      <c r="E41" s="662">
        <f t="shared" si="1"/>
        <v>0</v>
      </c>
      <c r="F41" s="662">
        <f t="shared" si="0"/>
        <v>0</v>
      </c>
      <c r="G41" s="662">
        <f t="shared" si="2"/>
        <v>0</v>
      </c>
      <c r="H41" s="662">
        <f t="shared" si="3"/>
        <v>0</v>
      </c>
      <c r="I41" s="662">
        <f t="shared" si="4"/>
        <v>0</v>
      </c>
      <c r="J41" s="663">
        <f t="shared" si="5"/>
        <v>0</v>
      </c>
    </row>
    <row r="42" spans="2:10" x14ac:dyDescent="0.25">
      <c r="B42" s="659">
        <f>Amnt_Deposited!B34</f>
        <v>1973</v>
      </c>
      <c r="C42" s="660">
        <f>Amnt_Deposited!L34</f>
        <v>0</v>
      </c>
      <c r="D42" s="685">
        <f>MCF!S41</f>
        <v>0.8</v>
      </c>
      <c r="E42" s="662">
        <f t="shared" si="1"/>
        <v>0</v>
      </c>
      <c r="F42" s="662">
        <f t="shared" si="0"/>
        <v>0</v>
      </c>
      <c r="G42" s="662">
        <f t="shared" si="2"/>
        <v>0</v>
      </c>
      <c r="H42" s="662">
        <f t="shared" si="3"/>
        <v>0</v>
      </c>
      <c r="I42" s="662">
        <f t="shared" si="4"/>
        <v>0</v>
      </c>
      <c r="J42" s="663">
        <f t="shared" si="5"/>
        <v>0</v>
      </c>
    </row>
    <row r="43" spans="2:10" x14ac:dyDescent="0.25">
      <c r="B43" s="659">
        <f>Amnt_Deposited!B35</f>
        <v>1974</v>
      </c>
      <c r="C43" s="660">
        <f>Amnt_Deposited!L35</f>
        <v>0</v>
      </c>
      <c r="D43" s="685">
        <f>MCF!S42</f>
        <v>0.8</v>
      </c>
      <c r="E43" s="662">
        <f t="shared" si="1"/>
        <v>0</v>
      </c>
      <c r="F43" s="662">
        <f t="shared" si="0"/>
        <v>0</v>
      </c>
      <c r="G43" s="662">
        <f t="shared" si="2"/>
        <v>0</v>
      </c>
      <c r="H43" s="662">
        <f t="shared" si="3"/>
        <v>0</v>
      </c>
      <c r="I43" s="662">
        <f t="shared" si="4"/>
        <v>0</v>
      </c>
      <c r="J43" s="663">
        <f t="shared" si="5"/>
        <v>0</v>
      </c>
    </row>
    <row r="44" spans="2:10" x14ac:dyDescent="0.25">
      <c r="B44" s="659">
        <f>Amnt_Deposited!B36</f>
        <v>1975</v>
      </c>
      <c r="C44" s="660">
        <f>Amnt_Deposited!L36</f>
        <v>0</v>
      </c>
      <c r="D44" s="685">
        <f>MCF!S43</f>
        <v>0.8</v>
      </c>
      <c r="E44" s="662">
        <f t="shared" si="1"/>
        <v>0</v>
      </c>
      <c r="F44" s="662">
        <f t="shared" si="0"/>
        <v>0</v>
      </c>
      <c r="G44" s="662">
        <f t="shared" si="2"/>
        <v>0</v>
      </c>
      <c r="H44" s="662">
        <f t="shared" si="3"/>
        <v>0</v>
      </c>
      <c r="I44" s="662">
        <f t="shared" si="4"/>
        <v>0</v>
      </c>
      <c r="J44" s="663">
        <f t="shared" si="5"/>
        <v>0</v>
      </c>
    </row>
    <row r="45" spans="2:10" x14ac:dyDescent="0.25">
      <c r="B45" s="659">
        <f>Amnt_Deposited!B37</f>
        <v>1976</v>
      </c>
      <c r="C45" s="660">
        <f>Amnt_Deposited!L37</f>
        <v>0</v>
      </c>
      <c r="D45" s="685">
        <f>MCF!S44</f>
        <v>0.8</v>
      </c>
      <c r="E45" s="662">
        <f t="shared" si="1"/>
        <v>0</v>
      </c>
      <c r="F45" s="662">
        <f t="shared" si="0"/>
        <v>0</v>
      </c>
      <c r="G45" s="662">
        <f t="shared" si="2"/>
        <v>0</v>
      </c>
      <c r="H45" s="662">
        <f t="shared" si="3"/>
        <v>0</v>
      </c>
      <c r="I45" s="662">
        <f t="shared" si="4"/>
        <v>0</v>
      </c>
      <c r="J45" s="663">
        <f t="shared" si="5"/>
        <v>0</v>
      </c>
    </row>
    <row r="46" spans="2:10" x14ac:dyDescent="0.25">
      <c r="B46" s="659">
        <f>Amnt_Deposited!B38</f>
        <v>1977</v>
      </c>
      <c r="C46" s="660">
        <f>Amnt_Deposited!L38</f>
        <v>0</v>
      </c>
      <c r="D46" s="685">
        <f>MCF!S45</f>
        <v>0.8</v>
      </c>
      <c r="E46" s="662">
        <f t="shared" si="1"/>
        <v>0</v>
      </c>
      <c r="F46" s="662">
        <f t="shared" si="0"/>
        <v>0</v>
      </c>
      <c r="G46" s="662">
        <f t="shared" si="2"/>
        <v>0</v>
      </c>
      <c r="H46" s="662">
        <f t="shared" si="3"/>
        <v>0</v>
      </c>
      <c r="I46" s="662">
        <f t="shared" si="4"/>
        <v>0</v>
      </c>
      <c r="J46" s="663">
        <f t="shared" si="5"/>
        <v>0</v>
      </c>
    </row>
    <row r="47" spans="2:10" x14ac:dyDescent="0.25">
      <c r="B47" s="659">
        <f>Amnt_Deposited!B39</f>
        <v>1978</v>
      </c>
      <c r="C47" s="660">
        <f>Amnt_Deposited!L39</f>
        <v>0</v>
      </c>
      <c r="D47" s="685">
        <f>MCF!S46</f>
        <v>0.8</v>
      </c>
      <c r="E47" s="662">
        <f t="shared" si="1"/>
        <v>0</v>
      </c>
      <c r="F47" s="662">
        <f t="shared" si="0"/>
        <v>0</v>
      </c>
      <c r="G47" s="662">
        <f t="shared" si="2"/>
        <v>0</v>
      </c>
      <c r="H47" s="662">
        <f t="shared" si="3"/>
        <v>0</v>
      </c>
      <c r="I47" s="662">
        <f t="shared" si="4"/>
        <v>0</v>
      </c>
      <c r="J47" s="663">
        <f t="shared" si="5"/>
        <v>0</v>
      </c>
    </row>
    <row r="48" spans="2:10" x14ac:dyDescent="0.25">
      <c r="B48" s="659">
        <f>Amnt_Deposited!B40</f>
        <v>1979</v>
      </c>
      <c r="C48" s="660">
        <f>Amnt_Deposited!L40</f>
        <v>0</v>
      </c>
      <c r="D48" s="685">
        <f>MCF!S47</f>
        <v>0.8</v>
      </c>
      <c r="E48" s="662">
        <f t="shared" si="1"/>
        <v>0</v>
      </c>
      <c r="F48" s="662">
        <f t="shared" si="0"/>
        <v>0</v>
      </c>
      <c r="G48" s="662">
        <f t="shared" si="2"/>
        <v>0</v>
      </c>
      <c r="H48" s="662">
        <f t="shared" si="3"/>
        <v>0</v>
      </c>
      <c r="I48" s="662">
        <f t="shared" si="4"/>
        <v>0</v>
      </c>
      <c r="J48" s="663">
        <f t="shared" si="5"/>
        <v>0</v>
      </c>
    </row>
    <row r="49" spans="2:10" x14ac:dyDescent="0.25">
      <c r="B49" s="659">
        <f>Amnt_Deposited!B41</f>
        <v>1980</v>
      </c>
      <c r="C49" s="660">
        <f>Amnt_Deposited!L41</f>
        <v>0</v>
      </c>
      <c r="D49" s="685">
        <f>MCF!S48</f>
        <v>0.9</v>
      </c>
      <c r="E49" s="662">
        <f t="shared" si="1"/>
        <v>0</v>
      </c>
      <c r="F49" s="662">
        <f t="shared" si="0"/>
        <v>0</v>
      </c>
      <c r="G49" s="662">
        <f t="shared" si="2"/>
        <v>0</v>
      </c>
      <c r="H49" s="662">
        <f t="shared" si="3"/>
        <v>0</v>
      </c>
      <c r="I49" s="662">
        <f t="shared" si="4"/>
        <v>0</v>
      </c>
      <c r="J49" s="663">
        <f t="shared" si="5"/>
        <v>0</v>
      </c>
    </row>
    <row r="50" spans="2:10" x14ac:dyDescent="0.25">
      <c r="B50" s="659">
        <f>Amnt_Deposited!B42</f>
        <v>1981</v>
      </c>
      <c r="C50" s="660">
        <f>Amnt_Deposited!L42</f>
        <v>0</v>
      </c>
      <c r="D50" s="685">
        <f>MCF!S49</f>
        <v>0.9</v>
      </c>
      <c r="E50" s="662">
        <f t="shared" si="1"/>
        <v>0</v>
      </c>
      <c r="F50" s="662">
        <f t="shared" si="0"/>
        <v>0</v>
      </c>
      <c r="G50" s="662">
        <f t="shared" si="2"/>
        <v>0</v>
      </c>
      <c r="H50" s="662">
        <f t="shared" si="3"/>
        <v>0</v>
      </c>
      <c r="I50" s="662">
        <f t="shared" si="4"/>
        <v>0</v>
      </c>
      <c r="J50" s="663">
        <f t="shared" si="5"/>
        <v>0</v>
      </c>
    </row>
    <row r="51" spans="2:10" x14ac:dyDescent="0.25">
      <c r="B51" s="659">
        <f>Amnt_Deposited!B43</f>
        <v>1982</v>
      </c>
      <c r="C51" s="660">
        <f>Amnt_Deposited!L43</f>
        <v>0</v>
      </c>
      <c r="D51" s="685">
        <f>MCF!S50</f>
        <v>0.9</v>
      </c>
      <c r="E51" s="662">
        <f t="shared" si="1"/>
        <v>0</v>
      </c>
      <c r="F51" s="662">
        <f t="shared" si="0"/>
        <v>0</v>
      </c>
      <c r="G51" s="662">
        <f t="shared" si="2"/>
        <v>0</v>
      </c>
      <c r="H51" s="662">
        <f t="shared" si="3"/>
        <v>0</v>
      </c>
      <c r="I51" s="662">
        <f t="shared" si="4"/>
        <v>0</v>
      </c>
      <c r="J51" s="663">
        <f t="shared" si="5"/>
        <v>0</v>
      </c>
    </row>
    <row r="52" spans="2:10" x14ac:dyDescent="0.25">
      <c r="B52" s="659">
        <f>Amnt_Deposited!B44</f>
        <v>1983</v>
      </c>
      <c r="C52" s="660">
        <f>Amnt_Deposited!L44</f>
        <v>0</v>
      </c>
      <c r="D52" s="685">
        <f>MCF!S51</f>
        <v>0.9</v>
      </c>
      <c r="E52" s="662">
        <f t="shared" si="1"/>
        <v>0</v>
      </c>
      <c r="F52" s="662">
        <f t="shared" si="0"/>
        <v>0</v>
      </c>
      <c r="G52" s="662">
        <f t="shared" si="2"/>
        <v>0</v>
      </c>
      <c r="H52" s="662">
        <f t="shared" si="3"/>
        <v>0</v>
      </c>
      <c r="I52" s="662">
        <f t="shared" si="4"/>
        <v>0</v>
      </c>
      <c r="J52" s="663">
        <f t="shared" si="5"/>
        <v>0</v>
      </c>
    </row>
    <row r="53" spans="2:10" x14ac:dyDescent="0.25">
      <c r="B53" s="659">
        <f>Amnt_Deposited!B45</f>
        <v>1984</v>
      </c>
      <c r="C53" s="660">
        <f>Amnt_Deposited!L45</f>
        <v>0</v>
      </c>
      <c r="D53" s="685">
        <f>MCF!S52</f>
        <v>0.9</v>
      </c>
      <c r="E53" s="662">
        <f t="shared" si="1"/>
        <v>0</v>
      </c>
      <c r="F53" s="662">
        <f t="shared" si="0"/>
        <v>0</v>
      </c>
      <c r="G53" s="662">
        <f t="shared" si="2"/>
        <v>0</v>
      </c>
      <c r="H53" s="662">
        <f t="shared" si="3"/>
        <v>0</v>
      </c>
      <c r="I53" s="662">
        <f t="shared" si="4"/>
        <v>0</v>
      </c>
      <c r="J53" s="663">
        <f t="shared" si="5"/>
        <v>0</v>
      </c>
    </row>
    <row r="54" spans="2:10" x14ac:dyDescent="0.25">
      <c r="B54" s="659">
        <f>Amnt_Deposited!B46</f>
        <v>1985</v>
      </c>
      <c r="C54" s="660">
        <f>Amnt_Deposited!L46</f>
        <v>0</v>
      </c>
      <c r="D54" s="685">
        <f>MCF!S53</f>
        <v>0.9</v>
      </c>
      <c r="E54" s="662">
        <f t="shared" si="1"/>
        <v>0</v>
      </c>
      <c r="F54" s="662">
        <f t="shared" si="0"/>
        <v>0</v>
      </c>
      <c r="G54" s="662">
        <f t="shared" si="2"/>
        <v>0</v>
      </c>
      <c r="H54" s="662">
        <f t="shared" si="3"/>
        <v>0</v>
      </c>
      <c r="I54" s="662">
        <f t="shared" si="4"/>
        <v>0</v>
      </c>
      <c r="J54" s="663">
        <f t="shared" si="5"/>
        <v>0</v>
      </c>
    </row>
    <row r="55" spans="2:10" x14ac:dyDescent="0.25">
      <c r="B55" s="659">
        <f>Amnt_Deposited!B47</f>
        <v>1986</v>
      </c>
      <c r="C55" s="660">
        <f>Amnt_Deposited!L47</f>
        <v>0</v>
      </c>
      <c r="D55" s="685">
        <f>MCF!S54</f>
        <v>0.9</v>
      </c>
      <c r="E55" s="662">
        <f t="shared" si="1"/>
        <v>0</v>
      </c>
      <c r="F55" s="662">
        <f t="shared" si="0"/>
        <v>0</v>
      </c>
      <c r="G55" s="662">
        <f t="shared" si="2"/>
        <v>0</v>
      </c>
      <c r="H55" s="662">
        <f t="shared" si="3"/>
        <v>0</v>
      </c>
      <c r="I55" s="662">
        <f t="shared" si="4"/>
        <v>0</v>
      </c>
      <c r="J55" s="663">
        <f t="shared" si="5"/>
        <v>0</v>
      </c>
    </row>
    <row r="56" spans="2:10" x14ac:dyDescent="0.25">
      <c r="B56" s="659">
        <f>Amnt_Deposited!B48</f>
        <v>1987</v>
      </c>
      <c r="C56" s="660">
        <f>Amnt_Deposited!L48</f>
        <v>0</v>
      </c>
      <c r="D56" s="685">
        <f>MCF!S55</f>
        <v>0.9</v>
      </c>
      <c r="E56" s="662">
        <f t="shared" si="1"/>
        <v>0</v>
      </c>
      <c r="F56" s="662">
        <f t="shared" si="0"/>
        <v>0</v>
      </c>
      <c r="G56" s="662">
        <f t="shared" si="2"/>
        <v>0</v>
      </c>
      <c r="H56" s="662">
        <f t="shared" si="3"/>
        <v>0</v>
      </c>
      <c r="I56" s="662">
        <f t="shared" si="4"/>
        <v>0</v>
      </c>
      <c r="J56" s="663">
        <f t="shared" si="5"/>
        <v>0</v>
      </c>
    </row>
    <row r="57" spans="2:10" x14ac:dyDescent="0.25">
      <c r="B57" s="659">
        <f>Amnt_Deposited!B49</f>
        <v>1988</v>
      </c>
      <c r="C57" s="660">
        <f>Amnt_Deposited!L49</f>
        <v>0</v>
      </c>
      <c r="D57" s="685">
        <f>MCF!S56</f>
        <v>0.9</v>
      </c>
      <c r="E57" s="662">
        <f t="shared" si="1"/>
        <v>0</v>
      </c>
      <c r="F57" s="662">
        <f t="shared" si="0"/>
        <v>0</v>
      </c>
      <c r="G57" s="662">
        <f t="shared" si="2"/>
        <v>0</v>
      </c>
      <c r="H57" s="662">
        <f t="shared" si="3"/>
        <v>0</v>
      </c>
      <c r="I57" s="662">
        <f t="shared" si="4"/>
        <v>0</v>
      </c>
      <c r="J57" s="663">
        <f t="shared" si="5"/>
        <v>0</v>
      </c>
    </row>
    <row r="58" spans="2:10" x14ac:dyDescent="0.25">
      <c r="B58" s="659">
        <f>Amnt_Deposited!B50</f>
        <v>1989</v>
      </c>
      <c r="C58" s="660">
        <f>Amnt_Deposited!L50</f>
        <v>0</v>
      </c>
      <c r="D58" s="685">
        <f>MCF!S57</f>
        <v>0.9</v>
      </c>
      <c r="E58" s="662">
        <f t="shared" si="1"/>
        <v>0</v>
      </c>
      <c r="F58" s="662">
        <f t="shared" si="0"/>
        <v>0</v>
      </c>
      <c r="G58" s="662">
        <f t="shared" si="2"/>
        <v>0</v>
      </c>
      <c r="H58" s="662">
        <f t="shared" si="3"/>
        <v>0</v>
      </c>
      <c r="I58" s="662">
        <f t="shared" si="4"/>
        <v>0</v>
      </c>
      <c r="J58" s="663">
        <f t="shared" si="5"/>
        <v>0</v>
      </c>
    </row>
    <row r="59" spans="2:10" x14ac:dyDescent="0.25">
      <c r="B59" s="659">
        <f>Amnt_Deposited!B51</f>
        <v>1990</v>
      </c>
      <c r="C59" s="660">
        <f>Amnt_Deposited!L51</f>
        <v>0</v>
      </c>
      <c r="D59" s="685">
        <f>MCF!S58</f>
        <v>1</v>
      </c>
      <c r="E59" s="662">
        <f t="shared" si="1"/>
        <v>0</v>
      </c>
      <c r="F59" s="662">
        <f t="shared" si="0"/>
        <v>0</v>
      </c>
      <c r="G59" s="662">
        <f t="shared" si="2"/>
        <v>0</v>
      </c>
      <c r="H59" s="662">
        <f t="shared" si="3"/>
        <v>0</v>
      </c>
      <c r="I59" s="662">
        <f t="shared" si="4"/>
        <v>0</v>
      </c>
      <c r="J59" s="663">
        <f t="shared" si="5"/>
        <v>0</v>
      </c>
    </row>
    <row r="60" spans="2:10" x14ac:dyDescent="0.25">
      <c r="B60" s="659">
        <f>Amnt_Deposited!B52</f>
        <v>1991</v>
      </c>
      <c r="C60" s="660">
        <f>Amnt_Deposited!L52</f>
        <v>0</v>
      </c>
      <c r="D60" s="685">
        <f>MCF!S59</f>
        <v>1</v>
      </c>
      <c r="E60" s="662">
        <f t="shared" si="1"/>
        <v>0</v>
      </c>
      <c r="F60" s="662">
        <f t="shared" si="0"/>
        <v>0</v>
      </c>
      <c r="G60" s="662">
        <f t="shared" si="2"/>
        <v>0</v>
      </c>
      <c r="H60" s="662">
        <f t="shared" si="3"/>
        <v>0</v>
      </c>
      <c r="I60" s="662">
        <f t="shared" si="4"/>
        <v>0</v>
      </c>
      <c r="J60" s="663">
        <f t="shared" si="5"/>
        <v>0</v>
      </c>
    </row>
    <row r="61" spans="2:10" x14ac:dyDescent="0.25">
      <c r="B61" s="659">
        <f>Amnt_Deposited!B53</f>
        <v>1992</v>
      </c>
      <c r="C61" s="660">
        <f>Amnt_Deposited!L53</f>
        <v>0</v>
      </c>
      <c r="D61" s="685">
        <f>MCF!S60</f>
        <v>1</v>
      </c>
      <c r="E61" s="662">
        <f t="shared" si="1"/>
        <v>0</v>
      </c>
      <c r="F61" s="662">
        <f t="shared" si="0"/>
        <v>0</v>
      </c>
      <c r="G61" s="662">
        <f t="shared" si="2"/>
        <v>0</v>
      </c>
      <c r="H61" s="662">
        <f t="shared" si="3"/>
        <v>0</v>
      </c>
      <c r="I61" s="662">
        <f t="shared" si="4"/>
        <v>0</v>
      </c>
      <c r="J61" s="663">
        <f t="shared" si="5"/>
        <v>0</v>
      </c>
    </row>
    <row r="62" spans="2:10" x14ac:dyDescent="0.25">
      <c r="B62" s="659">
        <f>Amnt_Deposited!B54</f>
        <v>1993</v>
      </c>
      <c r="C62" s="660">
        <f>Amnt_Deposited!L54</f>
        <v>0</v>
      </c>
      <c r="D62" s="685">
        <f>MCF!S61</f>
        <v>1</v>
      </c>
      <c r="E62" s="662">
        <f t="shared" si="1"/>
        <v>0</v>
      </c>
      <c r="F62" s="662">
        <f t="shared" si="0"/>
        <v>0</v>
      </c>
      <c r="G62" s="662">
        <f t="shared" si="2"/>
        <v>0</v>
      </c>
      <c r="H62" s="662">
        <f t="shared" si="3"/>
        <v>0</v>
      </c>
      <c r="I62" s="662">
        <f t="shared" si="4"/>
        <v>0</v>
      </c>
      <c r="J62" s="663">
        <f t="shared" si="5"/>
        <v>0</v>
      </c>
    </row>
    <row r="63" spans="2:10" x14ac:dyDescent="0.25">
      <c r="B63" s="659">
        <f>Amnt_Deposited!B55</f>
        <v>1994</v>
      </c>
      <c r="C63" s="660">
        <f>Amnt_Deposited!L55</f>
        <v>0</v>
      </c>
      <c r="D63" s="685">
        <f>MCF!S62</f>
        <v>1</v>
      </c>
      <c r="E63" s="662">
        <f t="shared" si="1"/>
        <v>0</v>
      </c>
      <c r="F63" s="662">
        <f t="shared" si="0"/>
        <v>0</v>
      </c>
      <c r="G63" s="662">
        <f t="shared" si="2"/>
        <v>0</v>
      </c>
      <c r="H63" s="662">
        <f t="shared" si="3"/>
        <v>0</v>
      </c>
      <c r="I63" s="662">
        <f t="shared" si="4"/>
        <v>0</v>
      </c>
      <c r="J63" s="663">
        <f t="shared" si="5"/>
        <v>0</v>
      </c>
    </row>
    <row r="64" spans="2:10" x14ac:dyDescent="0.25">
      <c r="B64" s="659">
        <f>Amnt_Deposited!B56</f>
        <v>1995</v>
      </c>
      <c r="C64" s="660">
        <f>Amnt_Deposited!L56</f>
        <v>0</v>
      </c>
      <c r="D64" s="685">
        <f>MCF!S63</f>
        <v>1</v>
      </c>
      <c r="E64" s="662">
        <f t="shared" si="1"/>
        <v>0</v>
      </c>
      <c r="F64" s="662">
        <f t="shared" si="0"/>
        <v>0</v>
      </c>
      <c r="G64" s="662">
        <f t="shared" si="2"/>
        <v>0</v>
      </c>
      <c r="H64" s="662">
        <f t="shared" si="3"/>
        <v>0</v>
      </c>
      <c r="I64" s="662">
        <f t="shared" si="4"/>
        <v>0</v>
      </c>
      <c r="J64" s="663">
        <f t="shared" si="5"/>
        <v>0</v>
      </c>
    </row>
    <row r="65" spans="2:10" x14ac:dyDescent="0.25">
      <c r="B65" s="659">
        <f>Amnt_Deposited!B57</f>
        <v>1996</v>
      </c>
      <c r="C65" s="660">
        <f>Amnt_Deposited!L57</f>
        <v>0</v>
      </c>
      <c r="D65" s="685">
        <f>MCF!S64</f>
        <v>1</v>
      </c>
      <c r="E65" s="662">
        <f t="shared" si="1"/>
        <v>0</v>
      </c>
      <c r="F65" s="662">
        <f t="shared" si="0"/>
        <v>0</v>
      </c>
      <c r="G65" s="662">
        <f t="shared" si="2"/>
        <v>0</v>
      </c>
      <c r="H65" s="662">
        <f t="shared" si="3"/>
        <v>0</v>
      </c>
      <c r="I65" s="662">
        <f t="shared" si="4"/>
        <v>0</v>
      </c>
      <c r="J65" s="663">
        <f t="shared" si="5"/>
        <v>0</v>
      </c>
    </row>
    <row r="66" spans="2:10" x14ac:dyDescent="0.25">
      <c r="B66" s="659">
        <f>Amnt_Deposited!B58</f>
        <v>1997</v>
      </c>
      <c r="C66" s="660">
        <f>Amnt_Deposited!L58</f>
        <v>0</v>
      </c>
      <c r="D66" s="685">
        <f>MCF!S65</f>
        <v>1</v>
      </c>
      <c r="E66" s="662">
        <f t="shared" si="1"/>
        <v>0</v>
      </c>
      <c r="F66" s="662">
        <f t="shared" si="0"/>
        <v>0</v>
      </c>
      <c r="G66" s="662">
        <f t="shared" si="2"/>
        <v>0</v>
      </c>
      <c r="H66" s="662">
        <f t="shared" si="3"/>
        <v>0</v>
      </c>
      <c r="I66" s="662">
        <f t="shared" si="4"/>
        <v>0</v>
      </c>
      <c r="J66" s="663">
        <f t="shared" si="5"/>
        <v>0</v>
      </c>
    </row>
    <row r="67" spans="2:10" x14ac:dyDescent="0.25">
      <c r="B67" s="659">
        <f>Amnt_Deposited!B59</f>
        <v>1998</v>
      </c>
      <c r="C67" s="660">
        <f>Amnt_Deposited!L59</f>
        <v>0</v>
      </c>
      <c r="D67" s="685">
        <f>MCF!S66</f>
        <v>1</v>
      </c>
      <c r="E67" s="662">
        <f t="shared" si="1"/>
        <v>0</v>
      </c>
      <c r="F67" s="662">
        <f t="shared" si="0"/>
        <v>0</v>
      </c>
      <c r="G67" s="662">
        <f t="shared" si="2"/>
        <v>0</v>
      </c>
      <c r="H67" s="662">
        <f t="shared" si="3"/>
        <v>0</v>
      </c>
      <c r="I67" s="662">
        <f t="shared" si="4"/>
        <v>0</v>
      </c>
      <c r="J67" s="663">
        <f t="shared" si="5"/>
        <v>0</v>
      </c>
    </row>
    <row r="68" spans="2:10" x14ac:dyDescent="0.25">
      <c r="B68" s="659">
        <f>Amnt_Deposited!B60</f>
        <v>1999</v>
      </c>
      <c r="C68" s="660">
        <f>Amnt_Deposited!L60</f>
        <v>0</v>
      </c>
      <c r="D68" s="685">
        <f>MCF!S67</f>
        <v>1</v>
      </c>
      <c r="E68" s="662">
        <f t="shared" si="1"/>
        <v>0</v>
      </c>
      <c r="F68" s="662">
        <f t="shared" si="0"/>
        <v>0</v>
      </c>
      <c r="G68" s="662">
        <f t="shared" si="2"/>
        <v>0</v>
      </c>
      <c r="H68" s="662">
        <f t="shared" si="3"/>
        <v>0</v>
      </c>
      <c r="I68" s="662">
        <f t="shared" si="4"/>
        <v>0</v>
      </c>
      <c r="J68" s="663">
        <f t="shared" si="5"/>
        <v>0</v>
      </c>
    </row>
    <row r="69" spans="2:10" x14ac:dyDescent="0.25">
      <c r="B69" s="659">
        <f>Amnt_Deposited!B61</f>
        <v>2000</v>
      </c>
      <c r="C69" s="660">
        <f>Amnt_Deposited!L61</f>
        <v>0</v>
      </c>
      <c r="D69" s="685">
        <f>MCF!S68</f>
        <v>1</v>
      </c>
      <c r="E69" s="662">
        <f t="shared" si="1"/>
        <v>0</v>
      </c>
      <c r="F69" s="662">
        <f t="shared" si="0"/>
        <v>0</v>
      </c>
      <c r="G69" s="662">
        <f t="shared" si="2"/>
        <v>0</v>
      </c>
      <c r="H69" s="662">
        <f t="shared" si="3"/>
        <v>0</v>
      </c>
      <c r="I69" s="662">
        <f t="shared" si="4"/>
        <v>0</v>
      </c>
      <c r="J69" s="663">
        <f t="shared" si="5"/>
        <v>0</v>
      </c>
    </row>
    <row r="70" spans="2:10" x14ac:dyDescent="0.25">
      <c r="B70" s="659">
        <f>Amnt_Deposited!B62</f>
        <v>2001</v>
      </c>
      <c r="C70" s="660">
        <f>Amnt_Deposited!L62</f>
        <v>0</v>
      </c>
      <c r="D70" s="685">
        <f>MCF!S69</f>
        <v>1</v>
      </c>
      <c r="E70" s="662">
        <f t="shared" si="1"/>
        <v>0</v>
      </c>
      <c r="F70" s="662">
        <f t="shared" si="0"/>
        <v>0</v>
      </c>
      <c r="G70" s="662">
        <f t="shared" si="2"/>
        <v>0</v>
      </c>
      <c r="H70" s="662">
        <f t="shared" si="3"/>
        <v>0</v>
      </c>
      <c r="I70" s="662">
        <f t="shared" si="4"/>
        <v>0</v>
      </c>
      <c r="J70" s="663">
        <f t="shared" si="5"/>
        <v>0</v>
      </c>
    </row>
    <row r="71" spans="2:10" x14ac:dyDescent="0.25">
      <c r="B71" s="659">
        <f>Amnt_Deposited!B63</f>
        <v>2002</v>
      </c>
      <c r="C71" s="660">
        <f>Amnt_Deposited!L63</f>
        <v>0</v>
      </c>
      <c r="D71" s="685">
        <f>MCF!S70</f>
        <v>1</v>
      </c>
      <c r="E71" s="662">
        <f t="shared" si="1"/>
        <v>0</v>
      </c>
      <c r="F71" s="662">
        <f t="shared" si="0"/>
        <v>0</v>
      </c>
      <c r="G71" s="662">
        <f t="shared" si="2"/>
        <v>0</v>
      </c>
      <c r="H71" s="662">
        <f t="shared" si="3"/>
        <v>0</v>
      </c>
      <c r="I71" s="662">
        <f t="shared" si="4"/>
        <v>0</v>
      </c>
      <c r="J71" s="663">
        <f t="shared" si="5"/>
        <v>0</v>
      </c>
    </row>
    <row r="72" spans="2:10" x14ac:dyDescent="0.25">
      <c r="B72" s="659">
        <f>Amnt_Deposited!B64</f>
        <v>2003</v>
      </c>
      <c r="C72" s="660">
        <f>Amnt_Deposited!L64</f>
        <v>0</v>
      </c>
      <c r="D72" s="685">
        <f>MCF!S71</f>
        <v>1</v>
      </c>
      <c r="E72" s="662">
        <f t="shared" si="1"/>
        <v>0</v>
      </c>
      <c r="F72" s="662">
        <f t="shared" si="0"/>
        <v>0</v>
      </c>
      <c r="G72" s="662">
        <f t="shared" si="2"/>
        <v>0</v>
      </c>
      <c r="H72" s="662">
        <f t="shared" si="3"/>
        <v>0</v>
      </c>
      <c r="I72" s="662">
        <f t="shared" si="4"/>
        <v>0</v>
      </c>
      <c r="J72" s="663">
        <f t="shared" si="5"/>
        <v>0</v>
      </c>
    </row>
    <row r="73" spans="2:10" x14ac:dyDescent="0.25">
      <c r="B73" s="659">
        <f>Amnt_Deposited!B65</f>
        <v>2004</v>
      </c>
      <c r="C73" s="660">
        <f>Amnt_Deposited!L65</f>
        <v>0</v>
      </c>
      <c r="D73" s="685">
        <f>MCF!S72</f>
        <v>1</v>
      </c>
      <c r="E73" s="662">
        <f t="shared" si="1"/>
        <v>0</v>
      </c>
      <c r="F73" s="662">
        <f t="shared" si="0"/>
        <v>0</v>
      </c>
      <c r="G73" s="662">
        <f t="shared" si="2"/>
        <v>0</v>
      </c>
      <c r="H73" s="662">
        <f t="shared" si="3"/>
        <v>0</v>
      </c>
      <c r="I73" s="662">
        <f t="shared" si="4"/>
        <v>0</v>
      </c>
      <c r="J73" s="663">
        <f t="shared" si="5"/>
        <v>0</v>
      </c>
    </row>
    <row r="74" spans="2:10" x14ac:dyDescent="0.25">
      <c r="B74" s="659">
        <f>Amnt_Deposited!B66</f>
        <v>2005</v>
      </c>
      <c r="C74" s="660">
        <f>Amnt_Deposited!L66</f>
        <v>0</v>
      </c>
      <c r="D74" s="685">
        <f>MCF!S73</f>
        <v>1</v>
      </c>
      <c r="E74" s="662">
        <f t="shared" si="1"/>
        <v>0</v>
      </c>
      <c r="F74" s="662">
        <f t="shared" si="0"/>
        <v>0</v>
      </c>
      <c r="G74" s="662">
        <f t="shared" si="2"/>
        <v>0</v>
      </c>
      <c r="H74" s="662">
        <f t="shared" si="3"/>
        <v>0</v>
      </c>
      <c r="I74" s="662">
        <f t="shared" si="4"/>
        <v>0</v>
      </c>
      <c r="J74" s="663">
        <f t="shared" si="5"/>
        <v>0</v>
      </c>
    </row>
    <row r="75" spans="2:10" x14ac:dyDescent="0.25">
      <c r="B75" s="659">
        <f>Amnt_Deposited!B67</f>
        <v>2006</v>
      </c>
      <c r="C75" s="660">
        <f>Amnt_Deposited!L67</f>
        <v>0</v>
      </c>
      <c r="D75" s="685">
        <f>MCF!S74</f>
        <v>1</v>
      </c>
      <c r="E75" s="662">
        <f t="shared" si="1"/>
        <v>0</v>
      </c>
      <c r="F75" s="662">
        <f t="shared" si="0"/>
        <v>0</v>
      </c>
      <c r="G75" s="662">
        <f t="shared" si="2"/>
        <v>0</v>
      </c>
      <c r="H75" s="662">
        <f t="shared" si="3"/>
        <v>0</v>
      </c>
      <c r="I75" s="662">
        <f t="shared" si="4"/>
        <v>0</v>
      </c>
      <c r="J75" s="663">
        <f t="shared" si="5"/>
        <v>0</v>
      </c>
    </row>
    <row r="76" spans="2:10" x14ac:dyDescent="0.25">
      <c r="B76" s="659">
        <f>Amnt_Deposited!B68</f>
        <v>2007</v>
      </c>
      <c r="C76" s="660">
        <f>Amnt_Deposited!L68</f>
        <v>0</v>
      </c>
      <c r="D76" s="685">
        <f>MCF!S75</f>
        <v>1</v>
      </c>
      <c r="E76" s="662">
        <f t="shared" si="1"/>
        <v>0</v>
      </c>
      <c r="F76" s="662">
        <f t="shared" si="0"/>
        <v>0</v>
      </c>
      <c r="G76" s="662">
        <f t="shared" si="2"/>
        <v>0</v>
      </c>
      <c r="H76" s="662">
        <f t="shared" si="3"/>
        <v>0</v>
      </c>
      <c r="I76" s="662">
        <f t="shared" si="4"/>
        <v>0</v>
      </c>
      <c r="J76" s="663">
        <f t="shared" si="5"/>
        <v>0</v>
      </c>
    </row>
    <row r="77" spans="2:10" x14ac:dyDescent="0.25">
      <c r="B77" s="659">
        <f>Amnt_Deposited!B69</f>
        <v>2008</v>
      </c>
      <c r="C77" s="660">
        <f>Amnt_Deposited!L69</f>
        <v>0</v>
      </c>
      <c r="D77" s="685">
        <f>MCF!S76</f>
        <v>1</v>
      </c>
      <c r="E77" s="662">
        <f t="shared" si="1"/>
        <v>0</v>
      </c>
      <c r="F77" s="662">
        <f t="shared" si="0"/>
        <v>0</v>
      </c>
      <c r="G77" s="662">
        <f t="shared" si="2"/>
        <v>0</v>
      </c>
      <c r="H77" s="662">
        <f t="shared" si="3"/>
        <v>0</v>
      </c>
      <c r="I77" s="662">
        <f t="shared" si="4"/>
        <v>0</v>
      </c>
      <c r="J77" s="663">
        <f t="shared" si="5"/>
        <v>0</v>
      </c>
    </row>
    <row r="78" spans="2:10" x14ac:dyDescent="0.25">
      <c r="B78" s="659">
        <f>Amnt_Deposited!B70</f>
        <v>2009</v>
      </c>
      <c r="C78" s="660">
        <f>Amnt_Deposited!L70</f>
        <v>0</v>
      </c>
      <c r="D78" s="685">
        <f>MCF!S77</f>
        <v>1</v>
      </c>
      <c r="E78" s="662">
        <f t="shared" si="1"/>
        <v>0</v>
      </c>
      <c r="F78" s="662">
        <f t="shared" si="0"/>
        <v>0</v>
      </c>
      <c r="G78" s="662">
        <f t="shared" si="2"/>
        <v>0</v>
      </c>
      <c r="H78" s="662">
        <f t="shared" si="3"/>
        <v>0</v>
      </c>
      <c r="I78" s="662">
        <f t="shared" si="4"/>
        <v>0</v>
      </c>
      <c r="J78" s="663">
        <f t="shared" si="5"/>
        <v>0</v>
      </c>
    </row>
    <row r="79" spans="2:10" x14ac:dyDescent="0.25">
      <c r="B79" s="659">
        <f>Amnt_Deposited!B71</f>
        <v>2010</v>
      </c>
      <c r="C79" s="660">
        <f>Amnt_Deposited!L71</f>
        <v>0</v>
      </c>
      <c r="D79" s="685">
        <f>MCF!S78</f>
        <v>1</v>
      </c>
      <c r="E79" s="662">
        <f t="shared" si="1"/>
        <v>0</v>
      </c>
      <c r="F79" s="662">
        <f t="shared" si="0"/>
        <v>0</v>
      </c>
      <c r="G79" s="662">
        <f t="shared" si="2"/>
        <v>0</v>
      </c>
      <c r="H79" s="662">
        <f t="shared" si="3"/>
        <v>0</v>
      </c>
      <c r="I79" s="662">
        <f t="shared" si="4"/>
        <v>0</v>
      </c>
      <c r="J79" s="663">
        <f t="shared" si="5"/>
        <v>0</v>
      </c>
    </row>
    <row r="80" spans="2:10" x14ac:dyDescent="0.25">
      <c r="B80" s="659">
        <f>Amnt_Deposited!B72</f>
        <v>2011</v>
      </c>
      <c r="C80" s="660">
        <f>Amnt_Deposited!L72</f>
        <v>0</v>
      </c>
      <c r="D80" s="685">
        <f>MCF!S79</f>
        <v>1</v>
      </c>
      <c r="E80" s="662">
        <f t="shared" si="1"/>
        <v>0</v>
      </c>
      <c r="F80" s="662">
        <f t="shared" si="0"/>
        <v>0</v>
      </c>
      <c r="G80" s="662">
        <f t="shared" si="2"/>
        <v>0</v>
      </c>
      <c r="H80" s="662">
        <f t="shared" si="3"/>
        <v>0</v>
      </c>
      <c r="I80" s="662">
        <f t="shared" si="4"/>
        <v>0</v>
      </c>
      <c r="J80" s="663">
        <f t="shared" si="5"/>
        <v>0</v>
      </c>
    </row>
    <row r="81" spans="2:10" x14ac:dyDescent="0.25">
      <c r="B81" s="659">
        <f>Amnt_Deposited!B73</f>
        <v>2012</v>
      </c>
      <c r="C81" s="660">
        <f>Amnt_Deposited!L73</f>
        <v>0</v>
      </c>
      <c r="D81" s="685">
        <f>MCF!S80</f>
        <v>1</v>
      </c>
      <c r="E81" s="662">
        <f t="shared" si="1"/>
        <v>0</v>
      </c>
      <c r="F81" s="662">
        <f t="shared" si="0"/>
        <v>0</v>
      </c>
      <c r="G81" s="662">
        <f t="shared" si="2"/>
        <v>0</v>
      </c>
      <c r="H81" s="662">
        <f t="shared" si="3"/>
        <v>0</v>
      </c>
      <c r="I81" s="662">
        <f t="shared" si="4"/>
        <v>0</v>
      </c>
      <c r="J81" s="663">
        <f t="shared" si="5"/>
        <v>0</v>
      </c>
    </row>
    <row r="82" spans="2:10" x14ac:dyDescent="0.25">
      <c r="B82" s="659">
        <f>Amnt_Deposited!B74</f>
        <v>2013</v>
      </c>
      <c r="C82" s="660">
        <f>Amnt_Deposited!L74</f>
        <v>0</v>
      </c>
      <c r="D82" s="685">
        <f>MCF!S81</f>
        <v>1</v>
      </c>
      <c r="E82" s="662">
        <f t="shared" si="1"/>
        <v>0</v>
      </c>
      <c r="F82" s="662">
        <f t="shared" si="0"/>
        <v>0</v>
      </c>
      <c r="G82" s="662">
        <f t="shared" si="2"/>
        <v>0</v>
      </c>
      <c r="H82" s="662">
        <f t="shared" si="3"/>
        <v>0</v>
      </c>
      <c r="I82" s="662">
        <f t="shared" si="4"/>
        <v>0</v>
      </c>
      <c r="J82" s="663">
        <f t="shared" si="5"/>
        <v>0</v>
      </c>
    </row>
    <row r="83" spans="2:10" x14ac:dyDescent="0.25">
      <c r="B83" s="659">
        <f>Amnt_Deposited!B75</f>
        <v>2014</v>
      </c>
      <c r="C83" s="660">
        <f>Amnt_Deposited!L75</f>
        <v>0</v>
      </c>
      <c r="D83" s="685">
        <f>MCF!S82</f>
        <v>1</v>
      </c>
      <c r="E83" s="662">
        <f t="shared" si="1"/>
        <v>0</v>
      </c>
      <c r="F83" s="662">
        <f t="shared" ref="F83:F109" si="6">E83*$I$12</f>
        <v>0</v>
      </c>
      <c r="G83" s="662">
        <f t="shared" si="2"/>
        <v>0</v>
      </c>
      <c r="H83" s="662">
        <f t="shared" si="3"/>
        <v>0</v>
      </c>
      <c r="I83" s="662">
        <f t="shared" si="4"/>
        <v>0</v>
      </c>
      <c r="J83" s="663">
        <f t="shared" si="5"/>
        <v>0</v>
      </c>
    </row>
    <row r="84" spans="2:10" x14ac:dyDescent="0.25">
      <c r="B84" s="659">
        <f>Amnt_Deposited!B76</f>
        <v>2015</v>
      </c>
      <c r="C84" s="660">
        <f>Amnt_Deposited!L76</f>
        <v>0</v>
      </c>
      <c r="D84" s="685">
        <f>MCF!S83</f>
        <v>1</v>
      </c>
      <c r="E84" s="662">
        <f t="shared" ref="E84:E109" si="7">C84*$I$6*DOCF*D84</f>
        <v>0</v>
      </c>
      <c r="F84" s="662">
        <f t="shared" si="6"/>
        <v>0</v>
      </c>
      <c r="G84" s="662">
        <f t="shared" ref="G84:G109" si="8">E84*(1-$I$12)</f>
        <v>0</v>
      </c>
      <c r="H84" s="662">
        <f t="shared" ref="H84:H109" si="9">F84+H83*$I$10</f>
        <v>0</v>
      </c>
      <c r="I84" s="662">
        <f t="shared" ref="I84:I109" si="10">H83*(1-$I$10)+G84</f>
        <v>0</v>
      </c>
      <c r="J84" s="663">
        <f t="shared" si="5"/>
        <v>0</v>
      </c>
    </row>
    <row r="85" spans="2:10" x14ac:dyDescent="0.25">
      <c r="B85" s="659">
        <f>Amnt_Deposited!B77</f>
        <v>2016</v>
      </c>
      <c r="C85" s="660">
        <f>Amnt_Deposited!L77</f>
        <v>0</v>
      </c>
      <c r="D85" s="685">
        <f>MCF!S84</f>
        <v>1</v>
      </c>
      <c r="E85" s="662">
        <f t="shared" si="7"/>
        <v>0</v>
      </c>
      <c r="F85" s="662">
        <f t="shared" si="6"/>
        <v>0</v>
      </c>
      <c r="G85" s="662">
        <f t="shared" si="8"/>
        <v>0</v>
      </c>
      <c r="H85" s="662">
        <f t="shared" si="9"/>
        <v>0</v>
      </c>
      <c r="I85" s="662">
        <f t="shared" si="10"/>
        <v>0</v>
      </c>
      <c r="J85" s="663">
        <f t="shared" ref="J85:J109" si="11">I85*CH4_fraction*conv</f>
        <v>0</v>
      </c>
    </row>
    <row r="86" spans="2:10" x14ac:dyDescent="0.25">
      <c r="B86" s="659">
        <f>Amnt_Deposited!B78</f>
        <v>2017</v>
      </c>
      <c r="C86" s="660">
        <f>Amnt_Deposited!L78</f>
        <v>0</v>
      </c>
      <c r="D86" s="685">
        <f>MCF!S85</f>
        <v>1</v>
      </c>
      <c r="E86" s="662">
        <f t="shared" ref="E86:E109" si="12">C86*$I$6*DOCF*D86</f>
        <v>0</v>
      </c>
      <c r="F86" s="662">
        <f t="shared" ref="F86:F109" si="13">E86*$I$12</f>
        <v>0</v>
      </c>
      <c r="G86" s="662">
        <f t="shared" ref="G86:G109" si="14">E86*(1-$I$12)</f>
        <v>0</v>
      </c>
      <c r="H86" s="662">
        <f t="shared" ref="H86:H109" si="15">F86+H85*$I$10</f>
        <v>0</v>
      </c>
      <c r="I86" s="662">
        <f t="shared" ref="I86:I109" si="16">H85*(1-$I$10)+G86</f>
        <v>0</v>
      </c>
      <c r="J86" s="663">
        <f t="shared" ref="J86:J109" si="17">I86*CH4_fraction*conv</f>
        <v>0</v>
      </c>
    </row>
    <row r="87" spans="2:10" x14ac:dyDescent="0.25">
      <c r="B87" s="659">
        <f>Amnt_Deposited!B79</f>
        <v>2018</v>
      </c>
      <c r="C87" s="660">
        <f>Amnt_Deposited!L79</f>
        <v>0</v>
      </c>
      <c r="D87" s="685">
        <f>MCF!S86</f>
        <v>1</v>
      </c>
      <c r="E87" s="662">
        <f t="shared" si="12"/>
        <v>0</v>
      </c>
      <c r="F87" s="662">
        <f t="shared" si="13"/>
        <v>0</v>
      </c>
      <c r="G87" s="662">
        <f t="shared" si="14"/>
        <v>0</v>
      </c>
      <c r="H87" s="662">
        <f t="shared" si="15"/>
        <v>0</v>
      </c>
      <c r="I87" s="662">
        <f t="shared" si="16"/>
        <v>0</v>
      </c>
      <c r="J87" s="663">
        <f t="shared" si="17"/>
        <v>0</v>
      </c>
    </row>
    <row r="88" spans="2:10" x14ac:dyDescent="0.25">
      <c r="B88" s="659">
        <f>Amnt_Deposited!B80</f>
        <v>2019</v>
      </c>
      <c r="C88" s="660">
        <f>Amnt_Deposited!L80</f>
        <v>0</v>
      </c>
      <c r="D88" s="685">
        <f>MCF!S87</f>
        <v>1</v>
      </c>
      <c r="E88" s="662">
        <f t="shared" si="12"/>
        <v>0</v>
      </c>
      <c r="F88" s="662">
        <f t="shared" si="13"/>
        <v>0</v>
      </c>
      <c r="G88" s="662">
        <f t="shared" si="14"/>
        <v>0</v>
      </c>
      <c r="H88" s="662">
        <f t="shared" si="15"/>
        <v>0</v>
      </c>
      <c r="I88" s="662">
        <f t="shared" si="16"/>
        <v>0</v>
      </c>
      <c r="J88" s="663">
        <f t="shared" si="17"/>
        <v>0</v>
      </c>
    </row>
    <row r="89" spans="2:10" x14ac:dyDescent="0.25">
      <c r="B89" s="659">
        <f>Amnt_Deposited!B81</f>
        <v>2020</v>
      </c>
      <c r="C89" s="660">
        <f>Amnt_Deposited!L81</f>
        <v>0</v>
      </c>
      <c r="D89" s="685">
        <f>MCF!S88</f>
        <v>1</v>
      </c>
      <c r="E89" s="662">
        <f t="shared" si="12"/>
        <v>0</v>
      </c>
      <c r="F89" s="662">
        <f t="shared" si="13"/>
        <v>0</v>
      </c>
      <c r="G89" s="662">
        <f t="shared" si="14"/>
        <v>0</v>
      </c>
      <c r="H89" s="662">
        <f t="shared" si="15"/>
        <v>0</v>
      </c>
      <c r="I89" s="662">
        <f t="shared" si="16"/>
        <v>0</v>
      </c>
      <c r="J89" s="663">
        <f t="shared" si="17"/>
        <v>0</v>
      </c>
    </row>
    <row r="90" spans="2:10" x14ac:dyDescent="0.25">
      <c r="B90" s="659">
        <f>Amnt_Deposited!B82</f>
        <v>2021</v>
      </c>
      <c r="C90" s="660">
        <f>Amnt_Deposited!L82</f>
        <v>0</v>
      </c>
      <c r="D90" s="685">
        <f>MCF!S89</f>
        <v>1</v>
      </c>
      <c r="E90" s="662">
        <f t="shared" si="12"/>
        <v>0</v>
      </c>
      <c r="F90" s="662">
        <f t="shared" si="13"/>
        <v>0</v>
      </c>
      <c r="G90" s="662">
        <f t="shared" si="14"/>
        <v>0</v>
      </c>
      <c r="H90" s="662">
        <f t="shared" si="15"/>
        <v>0</v>
      </c>
      <c r="I90" s="662">
        <f t="shared" si="16"/>
        <v>0</v>
      </c>
      <c r="J90" s="663">
        <f t="shared" si="17"/>
        <v>0</v>
      </c>
    </row>
    <row r="91" spans="2:10" x14ac:dyDescent="0.25">
      <c r="B91" s="659">
        <f>Amnt_Deposited!B83</f>
        <v>2022</v>
      </c>
      <c r="C91" s="660">
        <f>Amnt_Deposited!L83</f>
        <v>0</v>
      </c>
      <c r="D91" s="685">
        <f>MCF!S90</f>
        <v>1</v>
      </c>
      <c r="E91" s="662">
        <f t="shared" si="12"/>
        <v>0</v>
      </c>
      <c r="F91" s="662">
        <f t="shared" si="13"/>
        <v>0</v>
      </c>
      <c r="G91" s="662">
        <f t="shared" si="14"/>
        <v>0</v>
      </c>
      <c r="H91" s="662">
        <f t="shared" si="15"/>
        <v>0</v>
      </c>
      <c r="I91" s="662">
        <f t="shared" si="16"/>
        <v>0</v>
      </c>
      <c r="J91" s="663">
        <f t="shared" si="17"/>
        <v>0</v>
      </c>
    </row>
    <row r="92" spans="2:10" x14ac:dyDescent="0.25">
      <c r="B92" s="659">
        <f>Amnt_Deposited!B84</f>
        <v>2023</v>
      </c>
      <c r="C92" s="660">
        <f>Amnt_Deposited!L84</f>
        <v>0</v>
      </c>
      <c r="D92" s="685">
        <f>MCF!S91</f>
        <v>1</v>
      </c>
      <c r="E92" s="662">
        <f t="shared" si="12"/>
        <v>0</v>
      </c>
      <c r="F92" s="662">
        <f t="shared" si="13"/>
        <v>0</v>
      </c>
      <c r="G92" s="662">
        <f t="shared" si="14"/>
        <v>0</v>
      </c>
      <c r="H92" s="662">
        <f t="shared" si="15"/>
        <v>0</v>
      </c>
      <c r="I92" s="662">
        <f t="shared" si="16"/>
        <v>0</v>
      </c>
      <c r="J92" s="663">
        <f t="shared" si="17"/>
        <v>0</v>
      </c>
    </row>
    <row r="93" spans="2:10" x14ac:dyDescent="0.25">
      <c r="B93" s="659">
        <f>Amnt_Deposited!B85</f>
        <v>2024</v>
      </c>
      <c r="C93" s="660">
        <f>Amnt_Deposited!L85</f>
        <v>0</v>
      </c>
      <c r="D93" s="685">
        <f>MCF!S92</f>
        <v>1</v>
      </c>
      <c r="E93" s="662">
        <f t="shared" si="12"/>
        <v>0</v>
      </c>
      <c r="F93" s="662">
        <f t="shared" si="13"/>
        <v>0</v>
      </c>
      <c r="G93" s="662">
        <f t="shared" si="14"/>
        <v>0</v>
      </c>
      <c r="H93" s="662">
        <f t="shared" si="15"/>
        <v>0</v>
      </c>
      <c r="I93" s="662">
        <f t="shared" si="16"/>
        <v>0</v>
      </c>
      <c r="J93" s="663">
        <f t="shared" si="17"/>
        <v>0</v>
      </c>
    </row>
    <row r="94" spans="2:10" x14ac:dyDescent="0.25">
      <c r="B94" s="659">
        <f>Amnt_Deposited!B86</f>
        <v>2025</v>
      </c>
      <c r="C94" s="660">
        <f>Amnt_Deposited!L86</f>
        <v>0</v>
      </c>
      <c r="D94" s="685">
        <f>MCF!S93</f>
        <v>1</v>
      </c>
      <c r="E94" s="662">
        <f t="shared" si="12"/>
        <v>0</v>
      </c>
      <c r="F94" s="662">
        <f t="shared" si="13"/>
        <v>0</v>
      </c>
      <c r="G94" s="662">
        <f t="shared" si="14"/>
        <v>0</v>
      </c>
      <c r="H94" s="662">
        <f t="shared" si="15"/>
        <v>0</v>
      </c>
      <c r="I94" s="662">
        <f t="shared" si="16"/>
        <v>0</v>
      </c>
      <c r="J94" s="663">
        <f t="shared" si="17"/>
        <v>0</v>
      </c>
    </row>
    <row r="95" spans="2:10" x14ac:dyDescent="0.25">
      <c r="B95" s="659">
        <f>Amnt_Deposited!B87</f>
        <v>2026</v>
      </c>
      <c r="C95" s="660">
        <f>Amnt_Deposited!L87</f>
        <v>0</v>
      </c>
      <c r="D95" s="685">
        <f>MCF!S94</f>
        <v>1</v>
      </c>
      <c r="E95" s="662">
        <f t="shared" si="12"/>
        <v>0</v>
      </c>
      <c r="F95" s="662">
        <f t="shared" si="13"/>
        <v>0</v>
      </c>
      <c r="G95" s="662">
        <f t="shared" si="14"/>
        <v>0</v>
      </c>
      <c r="H95" s="662">
        <f t="shared" si="15"/>
        <v>0</v>
      </c>
      <c r="I95" s="662">
        <f t="shared" si="16"/>
        <v>0</v>
      </c>
      <c r="J95" s="663">
        <f t="shared" si="17"/>
        <v>0</v>
      </c>
    </row>
    <row r="96" spans="2:10" x14ac:dyDescent="0.25">
      <c r="B96" s="659">
        <f>Amnt_Deposited!B88</f>
        <v>2027</v>
      </c>
      <c r="C96" s="660">
        <f>Amnt_Deposited!L88</f>
        <v>0</v>
      </c>
      <c r="D96" s="685">
        <f>MCF!S95</f>
        <v>1</v>
      </c>
      <c r="E96" s="662">
        <f t="shared" si="12"/>
        <v>0</v>
      </c>
      <c r="F96" s="662">
        <f t="shared" si="13"/>
        <v>0</v>
      </c>
      <c r="G96" s="662">
        <f t="shared" si="14"/>
        <v>0</v>
      </c>
      <c r="H96" s="662">
        <f t="shared" si="15"/>
        <v>0</v>
      </c>
      <c r="I96" s="662">
        <f t="shared" si="16"/>
        <v>0</v>
      </c>
      <c r="J96" s="663">
        <f t="shared" si="17"/>
        <v>0</v>
      </c>
    </row>
    <row r="97" spans="2:10" x14ac:dyDescent="0.25">
      <c r="B97" s="659">
        <f>Amnt_Deposited!B89</f>
        <v>2028</v>
      </c>
      <c r="C97" s="660">
        <f>Amnt_Deposited!L89</f>
        <v>0</v>
      </c>
      <c r="D97" s="685">
        <f>MCF!S96</f>
        <v>1</v>
      </c>
      <c r="E97" s="662">
        <f t="shared" si="12"/>
        <v>0</v>
      </c>
      <c r="F97" s="662">
        <f t="shared" si="13"/>
        <v>0</v>
      </c>
      <c r="G97" s="662">
        <f t="shared" si="14"/>
        <v>0</v>
      </c>
      <c r="H97" s="662">
        <f t="shared" si="15"/>
        <v>0</v>
      </c>
      <c r="I97" s="662">
        <f t="shared" si="16"/>
        <v>0</v>
      </c>
      <c r="J97" s="663">
        <f t="shared" si="17"/>
        <v>0</v>
      </c>
    </row>
    <row r="98" spans="2:10" x14ac:dyDescent="0.25">
      <c r="B98" s="659">
        <f>Amnt_Deposited!B90</f>
        <v>2029</v>
      </c>
      <c r="C98" s="660">
        <f>Amnt_Deposited!L90</f>
        <v>0</v>
      </c>
      <c r="D98" s="685">
        <f>MCF!S97</f>
        <v>1</v>
      </c>
      <c r="E98" s="662">
        <f t="shared" si="12"/>
        <v>0</v>
      </c>
      <c r="F98" s="662">
        <f t="shared" si="13"/>
        <v>0</v>
      </c>
      <c r="G98" s="662">
        <f t="shared" si="14"/>
        <v>0</v>
      </c>
      <c r="H98" s="662">
        <f t="shared" si="15"/>
        <v>0</v>
      </c>
      <c r="I98" s="662">
        <f t="shared" si="16"/>
        <v>0</v>
      </c>
      <c r="J98" s="663">
        <f t="shared" si="17"/>
        <v>0</v>
      </c>
    </row>
    <row r="99" spans="2:10" x14ac:dyDescent="0.25">
      <c r="B99" s="659">
        <f>Amnt_Deposited!B91</f>
        <v>2030</v>
      </c>
      <c r="C99" s="660">
        <f>Amnt_Deposited!L91</f>
        <v>0</v>
      </c>
      <c r="D99" s="685">
        <f>MCF!S98</f>
        <v>1</v>
      </c>
      <c r="E99" s="662">
        <f t="shared" si="12"/>
        <v>0</v>
      </c>
      <c r="F99" s="662">
        <f t="shared" si="13"/>
        <v>0</v>
      </c>
      <c r="G99" s="662">
        <f t="shared" si="14"/>
        <v>0</v>
      </c>
      <c r="H99" s="662">
        <f t="shared" si="15"/>
        <v>0</v>
      </c>
      <c r="I99" s="662">
        <f t="shared" si="16"/>
        <v>0</v>
      </c>
      <c r="J99" s="663">
        <f t="shared" si="17"/>
        <v>0</v>
      </c>
    </row>
    <row r="100" spans="2:10" x14ac:dyDescent="0.25">
      <c r="B100" s="659">
        <f>Amnt_Deposited!B92</f>
        <v>2031</v>
      </c>
      <c r="C100" s="660">
        <f>Amnt_Deposited!L92</f>
        <v>0</v>
      </c>
      <c r="D100" s="685">
        <f>MCF!S99</f>
        <v>1</v>
      </c>
      <c r="E100" s="662">
        <f t="shared" si="12"/>
        <v>0</v>
      </c>
      <c r="F100" s="662">
        <f t="shared" si="13"/>
        <v>0</v>
      </c>
      <c r="G100" s="662">
        <f t="shared" si="14"/>
        <v>0</v>
      </c>
      <c r="H100" s="662">
        <f t="shared" si="15"/>
        <v>0</v>
      </c>
      <c r="I100" s="662">
        <f t="shared" si="16"/>
        <v>0</v>
      </c>
      <c r="J100" s="663">
        <f t="shared" si="17"/>
        <v>0</v>
      </c>
    </row>
    <row r="101" spans="2:10" x14ac:dyDescent="0.25">
      <c r="B101" s="659">
        <f>Amnt_Deposited!B93</f>
        <v>2032</v>
      </c>
      <c r="C101" s="660">
        <f>Amnt_Deposited!L93</f>
        <v>0</v>
      </c>
      <c r="D101" s="685">
        <f>MCF!S100</f>
        <v>1</v>
      </c>
      <c r="E101" s="662">
        <f t="shared" si="12"/>
        <v>0</v>
      </c>
      <c r="F101" s="662">
        <f t="shared" si="13"/>
        <v>0</v>
      </c>
      <c r="G101" s="662">
        <f t="shared" si="14"/>
        <v>0</v>
      </c>
      <c r="H101" s="662">
        <f t="shared" si="15"/>
        <v>0</v>
      </c>
      <c r="I101" s="662">
        <f t="shared" si="16"/>
        <v>0</v>
      </c>
      <c r="J101" s="663">
        <f t="shared" si="17"/>
        <v>0</v>
      </c>
    </row>
    <row r="102" spans="2:10" x14ac:dyDescent="0.25">
      <c r="B102" s="659">
        <f>Amnt_Deposited!B94</f>
        <v>2033</v>
      </c>
      <c r="C102" s="660">
        <f>Amnt_Deposited!L94</f>
        <v>0</v>
      </c>
      <c r="D102" s="685">
        <f>MCF!S101</f>
        <v>1</v>
      </c>
      <c r="E102" s="662">
        <f t="shared" si="12"/>
        <v>0</v>
      </c>
      <c r="F102" s="662">
        <f t="shared" si="13"/>
        <v>0</v>
      </c>
      <c r="G102" s="662">
        <f t="shared" si="14"/>
        <v>0</v>
      </c>
      <c r="H102" s="662">
        <f t="shared" si="15"/>
        <v>0</v>
      </c>
      <c r="I102" s="662">
        <f t="shared" si="16"/>
        <v>0</v>
      </c>
      <c r="J102" s="663">
        <f t="shared" si="17"/>
        <v>0</v>
      </c>
    </row>
    <row r="103" spans="2:10" x14ac:dyDescent="0.25">
      <c r="B103" s="659">
        <f>Amnt_Deposited!B95</f>
        <v>2034</v>
      </c>
      <c r="C103" s="660">
        <f>Amnt_Deposited!L95</f>
        <v>0</v>
      </c>
      <c r="D103" s="685">
        <f>MCF!S102</f>
        <v>1</v>
      </c>
      <c r="E103" s="662">
        <f t="shared" si="12"/>
        <v>0</v>
      </c>
      <c r="F103" s="662">
        <f t="shared" si="13"/>
        <v>0</v>
      </c>
      <c r="G103" s="662">
        <f t="shared" si="14"/>
        <v>0</v>
      </c>
      <c r="H103" s="662">
        <f t="shared" si="15"/>
        <v>0</v>
      </c>
      <c r="I103" s="662">
        <f t="shared" si="16"/>
        <v>0</v>
      </c>
      <c r="J103" s="663">
        <f t="shared" si="17"/>
        <v>0</v>
      </c>
    </row>
    <row r="104" spans="2:10" x14ac:dyDescent="0.25">
      <c r="B104" s="659">
        <f>Amnt_Deposited!B96</f>
        <v>2035</v>
      </c>
      <c r="C104" s="660">
        <f>Amnt_Deposited!L96</f>
        <v>0</v>
      </c>
      <c r="D104" s="685">
        <f>MCF!S103</f>
        <v>1</v>
      </c>
      <c r="E104" s="662">
        <f t="shared" si="12"/>
        <v>0</v>
      </c>
      <c r="F104" s="662">
        <f t="shared" si="13"/>
        <v>0</v>
      </c>
      <c r="G104" s="662">
        <f t="shared" si="14"/>
        <v>0</v>
      </c>
      <c r="H104" s="662">
        <f t="shared" si="15"/>
        <v>0</v>
      </c>
      <c r="I104" s="662">
        <f t="shared" si="16"/>
        <v>0</v>
      </c>
      <c r="J104" s="663">
        <f t="shared" si="17"/>
        <v>0</v>
      </c>
    </row>
    <row r="105" spans="2:10" x14ac:dyDescent="0.25">
      <c r="B105" s="659">
        <f>Amnt_Deposited!B97</f>
        <v>2036</v>
      </c>
      <c r="C105" s="660">
        <f>Amnt_Deposited!L97</f>
        <v>0</v>
      </c>
      <c r="D105" s="685">
        <f>MCF!S104</f>
        <v>1</v>
      </c>
      <c r="E105" s="662">
        <f t="shared" si="12"/>
        <v>0</v>
      </c>
      <c r="F105" s="662">
        <f t="shared" si="13"/>
        <v>0</v>
      </c>
      <c r="G105" s="662">
        <f t="shared" si="14"/>
        <v>0</v>
      </c>
      <c r="H105" s="662">
        <f t="shared" si="15"/>
        <v>0</v>
      </c>
      <c r="I105" s="662">
        <f t="shared" si="16"/>
        <v>0</v>
      </c>
      <c r="J105" s="663">
        <f t="shared" si="17"/>
        <v>0</v>
      </c>
    </row>
    <row r="106" spans="2:10" x14ac:dyDescent="0.25">
      <c r="B106" s="659">
        <f>Amnt_Deposited!B98</f>
        <v>2037</v>
      </c>
      <c r="C106" s="660">
        <f>Amnt_Deposited!L98</f>
        <v>0</v>
      </c>
      <c r="D106" s="685">
        <f>MCF!S105</f>
        <v>1</v>
      </c>
      <c r="E106" s="662">
        <f t="shared" si="12"/>
        <v>0</v>
      </c>
      <c r="F106" s="662">
        <f t="shared" si="13"/>
        <v>0</v>
      </c>
      <c r="G106" s="662">
        <f t="shared" si="14"/>
        <v>0</v>
      </c>
      <c r="H106" s="662">
        <f t="shared" si="15"/>
        <v>0</v>
      </c>
      <c r="I106" s="662">
        <f t="shared" si="16"/>
        <v>0</v>
      </c>
      <c r="J106" s="663">
        <f t="shared" si="17"/>
        <v>0</v>
      </c>
    </row>
    <row r="107" spans="2:10" x14ac:dyDescent="0.25">
      <c r="B107" s="659">
        <f>Amnt_Deposited!B99</f>
        <v>2038</v>
      </c>
      <c r="C107" s="660">
        <f>Amnt_Deposited!L99</f>
        <v>0</v>
      </c>
      <c r="D107" s="685">
        <f>MCF!S106</f>
        <v>1</v>
      </c>
      <c r="E107" s="662">
        <f t="shared" si="12"/>
        <v>0</v>
      </c>
      <c r="F107" s="662">
        <f t="shared" si="13"/>
        <v>0</v>
      </c>
      <c r="G107" s="662">
        <f t="shared" si="14"/>
        <v>0</v>
      </c>
      <c r="H107" s="662">
        <f t="shared" si="15"/>
        <v>0</v>
      </c>
      <c r="I107" s="662">
        <f t="shared" si="16"/>
        <v>0</v>
      </c>
      <c r="J107" s="663">
        <f t="shared" si="17"/>
        <v>0</v>
      </c>
    </row>
    <row r="108" spans="2:10" x14ac:dyDescent="0.25">
      <c r="B108" s="659">
        <f>Amnt_Deposited!B100</f>
        <v>2039</v>
      </c>
      <c r="C108" s="660">
        <f>Amnt_Deposited!L100</f>
        <v>0</v>
      </c>
      <c r="D108" s="685">
        <f>MCF!S107</f>
        <v>1</v>
      </c>
      <c r="E108" s="662">
        <f t="shared" si="12"/>
        <v>0</v>
      </c>
      <c r="F108" s="662">
        <f t="shared" si="13"/>
        <v>0</v>
      </c>
      <c r="G108" s="662">
        <f t="shared" si="14"/>
        <v>0</v>
      </c>
      <c r="H108" s="662">
        <f t="shared" si="15"/>
        <v>0</v>
      </c>
      <c r="I108" s="662">
        <f t="shared" si="16"/>
        <v>0</v>
      </c>
      <c r="J108" s="663">
        <f t="shared" si="17"/>
        <v>0</v>
      </c>
    </row>
    <row r="109" spans="2:10" ht="15.75" thickBot="1" x14ac:dyDescent="0.3">
      <c r="B109" s="664">
        <f>Amnt_Deposited!B101</f>
        <v>2040</v>
      </c>
      <c r="C109" s="665">
        <f>Amnt_Deposited!L101</f>
        <v>0</v>
      </c>
      <c r="D109" s="686">
        <f>MCF!S108</f>
        <v>1</v>
      </c>
      <c r="E109" s="667">
        <f t="shared" si="12"/>
        <v>0</v>
      </c>
      <c r="F109" s="667">
        <f t="shared" si="13"/>
        <v>0</v>
      </c>
      <c r="G109" s="667">
        <f t="shared" si="14"/>
        <v>0</v>
      </c>
      <c r="H109" s="667">
        <f t="shared" si="15"/>
        <v>0</v>
      </c>
      <c r="I109" s="667">
        <f t="shared" si="16"/>
        <v>0</v>
      </c>
      <c r="J109" s="668">
        <f t="shared" si="17"/>
        <v>0</v>
      </c>
    </row>
  </sheetData>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FF00"/>
  </sheetPr>
  <dimension ref="B2:T110"/>
  <sheetViews>
    <sheetView workbookViewId="0"/>
  </sheetViews>
  <sheetFormatPr defaultColWidth="11.42578125" defaultRowHeight="15" x14ac:dyDescent="0.25"/>
  <cols>
    <col min="1" max="1" width="3.5703125" customWidth="1"/>
    <col min="2" max="2" width="15.28515625" customWidth="1"/>
    <col min="3" max="4" width="10.140625" bestFit="1" customWidth="1"/>
    <col min="5" max="5" width="9.5703125" customWidth="1"/>
    <col min="6" max="6" width="11.28515625" customWidth="1"/>
    <col min="7" max="7" width="9.42578125" customWidth="1"/>
    <col min="8" max="8" width="8.5703125" customWidth="1"/>
    <col min="9" max="10" width="10.85546875" customWidth="1"/>
    <col min="11" max="11" width="9.42578125" bestFit="1" customWidth="1"/>
    <col min="12" max="12" width="10.28515625" customWidth="1"/>
    <col min="13" max="13" width="10.140625" customWidth="1"/>
    <col min="14" max="14" width="8.5703125" customWidth="1"/>
    <col min="15" max="15" width="23.7109375" customWidth="1"/>
    <col min="16" max="16" width="9.28515625" customWidth="1"/>
    <col min="17" max="17" width="3.28515625" customWidth="1"/>
    <col min="18" max="19" width="13" customWidth="1"/>
    <col min="20" max="20" width="3.28515625" customWidth="1"/>
    <col min="257" max="257" width="3.5703125" customWidth="1"/>
    <col min="258" max="258" width="15.28515625" customWidth="1"/>
    <col min="259" max="260" width="10.140625" bestFit="1" customWidth="1"/>
    <col min="261" max="261" width="9.5703125" customWidth="1"/>
    <col min="262" max="262" width="11.28515625" customWidth="1"/>
    <col min="263" max="263" width="9.42578125" customWidth="1"/>
    <col min="264" max="264" width="8.5703125" customWidth="1"/>
    <col min="265" max="266" width="10.85546875" customWidth="1"/>
    <col min="267" max="267" width="9.42578125" bestFit="1" customWidth="1"/>
    <col min="268" max="268" width="10.28515625" customWidth="1"/>
    <col min="269" max="269" width="10.140625" customWidth="1"/>
    <col min="270" max="270" width="8.5703125" customWidth="1"/>
    <col min="271" max="271" width="23.7109375" customWidth="1"/>
    <col min="272" max="272" width="9.28515625" customWidth="1"/>
    <col min="273" max="273" width="3.28515625" customWidth="1"/>
    <col min="274" max="275" width="13" customWidth="1"/>
    <col min="276" max="276" width="3.28515625" customWidth="1"/>
    <col min="513" max="513" width="3.5703125" customWidth="1"/>
    <col min="514" max="514" width="15.28515625" customWidth="1"/>
    <col min="515" max="516" width="10.140625" bestFit="1" customWidth="1"/>
    <col min="517" max="517" width="9.5703125" customWidth="1"/>
    <col min="518" max="518" width="11.28515625" customWidth="1"/>
    <col min="519" max="519" width="9.42578125" customWidth="1"/>
    <col min="520" max="520" width="8.5703125" customWidth="1"/>
    <col min="521" max="522" width="10.85546875" customWidth="1"/>
    <col min="523" max="523" width="9.42578125" bestFit="1" customWidth="1"/>
    <col min="524" max="524" width="10.28515625" customWidth="1"/>
    <col min="525" max="525" width="10.140625" customWidth="1"/>
    <col min="526" max="526" width="8.5703125" customWidth="1"/>
    <col min="527" max="527" width="23.7109375" customWidth="1"/>
    <col min="528" max="528" width="9.28515625" customWidth="1"/>
    <col min="529" max="529" width="3.28515625" customWidth="1"/>
    <col min="530" max="531" width="13" customWidth="1"/>
    <col min="532" max="532" width="3.28515625" customWidth="1"/>
    <col min="769" max="769" width="3.5703125" customWidth="1"/>
    <col min="770" max="770" width="15.28515625" customWidth="1"/>
    <col min="771" max="772" width="10.140625" bestFit="1" customWidth="1"/>
    <col min="773" max="773" width="9.5703125" customWidth="1"/>
    <col min="774" max="774" width="11.28515625" customWidth="1"/>
    <col min="775" max="775" width="9.42578125" customWidth="1"/>
    <col min="776" max="776" width="8.5703125" customWidth="1"/>
    <col min="777" max="778" width="10.85546875" customWidth="1"/>
    <col min="779" max="779" width="9.42578125" bestFit="1" customWidth="1"/>
    <col min="780" max="780" width="10.28515625" customWidth="1"/>
    <col min="781" max="781" width="10.140625" customWidth="1"/>
    <col min="782" max="782" width="8.5703125" customWidth="1"/>
    <col min="783" max="783" width="23.7109375" customWidth="1"/>
    <col min="784" max="784" width="9.28515625" customWidth="1"/>
    <col min="785" max="785" width="3.28515625" customWidth="1"/>
    <col min="786" max="787" width="13" customWidth="1"/>
    <col min="788" max="788" width="3.28515625" customWidth="1"/>
    <col min="1025" max="1025" width="3.5703125" customWidth="1"/>
    <col min="1026" max="1026" width="15.28515625" customWidth="1"/>
    <col min="1027" max="1028" width="10.140625" bestFit="1" customWidth="1"/>
    <col min="1029" max="1029" width="9.5703125" customWidth="1"/>
    <col min="1030" max="1030" width="11.28515625" customWidth="1"/>
    <col min="1031" max="1031" width="9.42578125" customWidth="1"/>
    <col min="1032" max="1032" width="8.5703125" customWidth="1"/>
    <col min="1033" max="1034" width="10.85546875" customWidth="1"/>
    <col min="1035" max="1035" width="9.42578125" bestFit="1" customWidth="1"/>
    <col min="1036" max="1036" width="10.28515625" customWidth="1"/>
    <col min="1037" max="1037" width="10.140625" customWidth="1"/>
    <col min="1038" max="1038" width="8.5703125" customWidth="1"/>
    <col min="1039" max="1039" width="23.7109375" customWidth="1"/>
    <col min="1040" max="1040" width="9.28515625" customWidth="1"/>
    <col min="1041" max="1041" width="3.28515625" customWidth="1"/>
    <col min="1042" max="1043" width="13" customWidth="1"/>
    <col min="1044" max="1044" width="3.28515625" customWidth="1"/>
    <col min="1281" max="1281" width="3.5703125" customWidth="1"/>
    <col min="1282" max="1282" width="15.28515625" customWidth="1"/>
    <col min="1283" max="1284" width="10.140625" bestFit="1" customWidth="1"/>
    <col min="1285" max="1285" width="9.5703125" customWidth="1"/>
    <col min="1286" max="1286" width="11.28515625" customWidth="1"/>
    <col min="1287" max="1287" width="9.42578125" customWidth="1"/>
    <col min="1288" max="1288" width="8.5703125" customWidth="1"/>
    <col min="1289" max="1290" width="10.85546875" customWidth="1"/>
    <col min="1291" max="1291" width="9.42578125" bestFit="1" customWidth="1"/>
    <col min="1292" max="1292" width="10.28515625" customWidth="1"/>
    <col min="1293" max="1293" width="10.140625" customWidth="1"/>
    <col min="1294" max="1294" width="8.5703125" customWidth="1"/>
    <col min="1295" max="1295" width="23.7109375" customWidth="1"/>
    <col min="1296" max="1296" width="9.28515625" customWidth="1"/>
    <col min="1297" max="1297" width="3.28515625" customWidth="1"/>
    <col min="1298" max="1299" width="13" customWidth="1"/>
    <col min="1300" max="1300" width="3.28515625" customWidth="1"/>
    <col min="1537" max="1537" width="3.5703125" customWidth="1"/>
    <col min="1538" max="1538" width="15.28515625" customWidth="1"/>
    <col min="1539" max="1540" width="10.140625" bestFit="1" customWidth="1"/>
    <col min="1541" max="1541" width="9.5703125" customWidth="1"/>
    <col min="1542" max="1542" width="11.28515625" customWidth="1"/>
    <col min="1543" max="1543" width="9.42578125" customWidth="1"/>
    <col min="1544" max="1544" width="8.5703125" customWidth="1"/>
    <col min="1545" max="1546" width="10.85546875" customWidth="1"/>
    <col min="1547" max="1547" width="9.42578125" bestFit="1" customWidth="1"/>
    <col min="1548" max="1548" width="10.28515625" customWidth="1"/>
    <col min="1549" max="1549" width="10.140625" customWidth="1"/>
    <col min="1550" max="1550" width="8.5703125" customWidth="1"/>
    <col min="1551" max="1551" width="23.7109375" customWidth="1"/>
    <col min="1552" max="1552" width="9.28515625" customWidth="1"/>
    <col min="1553" max="1553" width="3.28515625" customWidth="1"/>
    <col min="1554" max="1555" width="13" customWidth="1"/>
    <col min="1556" max="1556" width="3.28515625" customWidth="1"/>
    <col min="1793" max="1793" width="3.5703125" customWidth="1"/>
    <col min="1794" max="1794" width="15.28515625" customWidth="1"/>
    <col min="1795" max="1796" width="10.140625" bestFit="1" customWidth="1"/>
    <col min="1797" max="1797" width="9.5703125" customWidth="1"/>
    <col min="1798" max="1798" width="11.28515625" customWidth="1"/>
    <col min="1799" max="1799" width="9.42578125" customWidth="1"/>
    <col min="1800" max="1800" width="8.5703125" customWidth="1"/>
    <col min="1801" max="1802" width="10.85546875" customWidth="1"/>
    <col min="1803" max="1803" width="9.42578125" bestFit="1" customWidth="1"/>
    <col min="1804" max="1804" width="10.28515625" customWidth="1"/>
    <col min="1805" max="1805" width="10.140625" customWidth="1"/>
    <col min="1806" max="1806" width="8.5703125" customWidth="1"/>
    <col min="1807" max="1807" width="23.7109375" customWidth="1"/>
    <col min="1808" max="1808" width="9.28515625" customWidth="1"/>
    <col min="1809" max="1809" width="3.28515625" customWidth="1"/>
    <col min="1810" max="1811" width="13" customWidth="1"/>
    <col min="1812" max="1812" width="3.28515625" customWidth="1"/>
    <col min="2049" max="2049" width="3.5703125" customWidth="1"/>
    <col min="2050" max="2050" width="15.28515625" customWidth="1"/>
    <col min="2051" max="2052" width="10.140625" bestFit="1" customWidth="1"/>
    <col min="2053" max="2053" width="9.5703125" customWidth="1"/>
    <col min="2054" max="2054" width="11.28515625" customWidth="1"/>
    <col min="2055" max="2055" width="9.42578125" customWidth="1"/>
    <col min="2056" max="2056" width="8.5703125" customWidth="1"/>
    <col min="2057" max="2058" width="10.85546875" customWidth="1"/>
    <col min="2059" max="2059" width="9.42578125" bestFit="1" customWidth="1"/>
    <col min="2060" max="2060" width="10.28515625" customWidth="1"/>
    <col min="2061" max="2061" width="10.140625" customWidth="1"/>
    <col min="2062" max="2062" width="8.5703125" customWidth="1"/>
    <col min="2063" max="2063" width="23.7109375" customWidth="1"/>
    <col min="2064" max="2064" width="9.28515625" customWidth="1"/>
    <col min="2065" max="2065" width="3.28515625" customWidth="1"/>
    <col min="2066" max="2067" width="13" customWidth="1"/>
    <col min="2068" max="2068" width="3.28515625" customWidth="1"/>
    <col min="2305" max="2305" width="3.5703125" customWidth="1"/>
    <col min="2306" max="2306" width="15.28515625" customWidth="1"/>
    <col min="2307" max="2308" width="10.140625" bestFit="1" customWidth="1"/>
    <col min="2309" max="2309" width="9.5703125" customWidth="1"/>
    <col min="2310" max="2310" width="11.28515625" customWidth="1"/>
    <col min="2311" max="2311" width="9.42578125" customWidth="1"/>
    <col min="2312" max="2312" width="8.5703125" customWidth="1"/>
    <col min="2313" max="2314" width="10.85546875" customWidth="1"/>
    <col min="2315" max="2315" width="9.42578125" bestFit="1" customWidth="1"/>
    <col min="2316" max="2316" width="10.28515625" customWidth="1"/>
    <col min="2317" max="2317" width="10.140625" customWidth="1"/>
    <col min="2318" max="2318" width="8.5703125" customWidth="1"/>
    <col min="2319" max="2319" width="23.7109375" customWidth="1"/>
    <col min="2320" max="2320" width="9.28515625" customWidth="1"/>
    <col min="2321" max="2321" width="3.28515625" customWidth="1"/>
    <col min="2322" max="2323" width="13" customWidth="1"/>
    <col min="2324" max="2324" width="3.28515625" customWidth="1"/>
    <col min="2561" max="2561" width="3.5703125" customWidth="1"/>
    <col min="2562" max="2562" width="15.28515625" customWidth="1"/>
    <col min="2563" max="2564" width="10.140625" bestFit="1" customWidth="1"/>
    <col min="2565" max="2565" width="9.5703125" customWidth="1"/>
    <col min="2566" max="2566" width="11.28515625" customWidth="1"/>
    <col min="2567" max="2567" width="9.42578125" customWidth="1"/>
    <col min="2568" max="2568" width="8.5703125" customWidth="1"/>
    <col min="2569" max="2570" width="10.85546875" customWidth="1"/>
    <col min="2571" max="2571" width="9.42578125" bestFit="1" customWidth="1"/>
    <col min="2572" max="2572" width="10.28515625" customWidth="1"/>
    <col min="2573" max="2573" width="10.140625" customWidth="1"/>
    <col min="2574" max="2574" width="8.5703125" customWidth="1"/>
    <col min="2575" max="2575" width="23.7109375" customWidth="1"/>
    <col min="2576" max="2576" width="9.28515625" customWidth="1"/>
    <col min="2577" max="2577" width="3.28515625" customWidth="1"/>
    <col min="2578" max="2579" width="13" customWidth="1"/>
    <col min="2580" max="2580" width="3.28515625" customWidth="1"/>
    <col min="2817" max="2817" width="3.5703125" customWidth="1"/>
    <col min="2818" max="2818" width="15.28515625" customWidth="1"/>
    <col min="2819" max="2820" width="10.140625" bestFit="1" customWidth="1"/>
    <col min="2821" max="2821" width="9.5703125" customWidth="1"/>
    <col min="2822" max="2822" width="11.28515625" customWidth="1"/>
    <col min="2823" max="2823" width="9.42578125" customWidth="1"/>
    <col min="2824" max="2824" width="8.5703125" customWidth="1"/>
    <col min="2825" max="2826" width="10.85546875" customWidth="1"/>
    <col min="2827" max="2827" width="9.42578125" bestFit="1" customWidth="1"/>
    <col min="2828" max="2828" width="10.28515625" customWidth="1"/>
    <col min="2829" max="2829" width="10.140625" customWidth="1"/>
    <col min="2830" max="2830" width="8.5703125" customWidth="1"/>
    <col min="2831" max="2831" width="23.7109375" customWidth="1"/>
    <col min="2832" max="2832" width="9.28515625" customWidth="1"/>
    <col min="2833" max="2833" width="3.28515625" customWidth="1"/>
    <col min="2834" max="2835" width="13" customWidth="1"/>
    <col min="2836" max="2836" width="3.28515625" customWidth="1"/>
    <col min="3073" max="3073" width="3.5703125" customWidth="1"/>
    <col min="3074" max="3074" width="15.28515625" customWidth="1"/>
    <col min="3075" max="3076" width="10.140625" bestFit="1" customWidth="1"/>
    <col min="3077" max="3077" width="9.5703125" customWidth="1"/>
    <col min="3078" max="3078" width="11.28515625" customWidth="1"/>
    <col min="3079" max="3079" width="9.42578125" customWidth="1"/>
    <col min="3080" max="3080" width="8.5703125" customWidth="1"/>
    <col min="3081" max="3082" width="10.85546875" customWidth="1"/>
    <col min="3083" max="3083" width="9.42578125" bestFit="1" customWidth="1"/>
    <col min="3084" max="3084" width="10.28515625" customWidth="1"/>
    <col min="3085" max="3085" width="10.140625" customWidth="1"/>
    <col min="3086" max="3086" width="8.5703125" customWidth="1"/>
    <col min="3087" max="3087" width="23.7109375" customWidth="1"/>
    <col min="3088" max="3088" width="9.28515625" customWidth="1"/>
    <col min="3089" max="3089" width="3.28515625" customWidth="1"/>
    <col min="3090" max="3091" width="13" customWidth="1"/>
    <col min="3092" max="3092" width="3.28515625" customWidth="1"/>
    <col min="3329" max="3329" width="3.5703125" customWidth="1"/>
    <col min="3330" max="3330" width="15.28515625" customWidth="1"/>
    <col min="3331" max="3332" width="10.140625" bestFit="1" customWidth="1"/>
    <col min="3333" max="3333" width="9.5703125" customWidth="1"/>
    <col min="3334" max="3334" width="11.28515625" customWidth="1"/>
    <col min="3335" max="3335" width="9.42578125" customWidth="1"/>
    <col min="3336" max="3336" width="8.5703125" customWidth="1"/>
    <col min="3337" max="3338" width="10.85546875" customWidth="1"/>
    <col min="3339" max="3339" width="9.42578125" bestFit="1" customWidth="1"/>
    <col min="3340" max="3340" width="10.28515625" customWidth="1"/>
    <col min="3341" max="3341" width="10.140625" customWidth="1"/>
    <col min="3342" max="3342" width="8.5703125" customWidth="1"/>
    <col min="3343" max="3343" width="23.7109375" customWidth="1"/>
    <col min="3344" max="3344" width="9.28515625" customWidth="1"/>
    <col min="3345" max="3345" width="3.28515625" customWidth="1"/>
    <col min="3346" max="3347" width="13" customWidth="1"/>
    <col min="3348" max="3348" width="3.28515625" customWidth="1"/>
    <col min="3585" max="3585" width="3.5703125" customWidth="1"/>
    <col min="3586" max="3586" width="15.28515625" customWidth="1"/>
    <col min="3587" max="3588" width="10.140625" bestFit="1" customWidth="1"/>
    <col min="3589" max="3589" width="9.5703125" customWidth="1"/>
    <col min="3590" max="3590" width="11.28515625" customWidth="1"/>
    <col min="3591" max="3591" width="9.42578125" customWidth="1"/>
    <col min="3592" max="3592" width="8.5703125" customWidth="1"/>
    <col min="3593" max="3594" width="10.85546875" customWidth="1"/>
    <col min="3595" max="3595" width="9.42578125" bestFit="1" customWidth="1"/>
    <col min="3596" max="3596" width="10.28515625" customWidth="1"/>
    <col min="3597" max="3597" width="10.140625" customWidth="1"/>
    <col min="3598" max="3598" width="8.5703125" customWidth="1"/>
    <col min="3599" max="3599" width="23.7109375" customWidth="1"/>
    <col min="3600" max="3600" width="9.28515625" customWidth="1"/>
    <col min="3601" max="3601" width="3.28515625" customWidth="1"/>
    <col min="3602" max="3603" width="13" customWidth="1"/>
    <col min="3604" max="3604" width="3.28515625" customWidth="1"/>
    <col min="3841" max="3841" width="3.5703125" customWidth="1"/>
    <col min="3842" max="3842" width="15.28515625" customWidth="1"/>
    <col min="3843" max="3844" width="10.140625" bestFit="1" customWidth="1"/>
    <col min="3845" max="3845" width="9.5703125" customWidth="1"/>
    <col min="3846" max="3846" width="11.28515625" customWidth="1"/>
    <col min="3847" max="3847" width="9.42578125" customWidth="1"/>
    <col min="3848" max="3848" width="8.5703125" customWidth="1"/>
    <col min="3849" max="3850" width="10.85546875" customWidth="1"/>
    <col min="3851" max="3851" width="9.42578125" bestFit="1" customWidth="1"/>
    <col min="3852" max="3852" width="10.28515625" customWidth="1"/>
    <col min="3853" max="3853" width="10.140625" customWidth="1"/>
    <col min="3854" max="3854" width="8.5703125" customWidth="1"/>
    <col min="3855" max="3855" width="23.7109375" customWidth="1"/>
    <col min="3856" max="3856" width="9.28515625" customWidth="1"/>
    <col min="3857" max="3857" width="3.28515625" customWidth="1"/>
    <col min="3858" max="3859" width="13" customWidth="1"/>
    <col min="3860" max="3860" width="3.28515625" customWidth="1"/>
    <col min="4097" max="4097" width="3.5703125" customWidth="1"/>
    <col min="4098" max="4098" width="15.28515625" customWidth="1"/>
    <col min="4099" max="4100" width="10.140625" bestFit="1" customWidth="1"/>
    <col min="4101" max="4101" width="9.5703125" customWidth="1"/>
    <col min="4102" max="4102" width="11.28515625" customWidth="1"/>
    <col min="4103" max="4103" width="9.42578125" customWidth="1"/>
    <col min="4104" max="4104" width="8.5703125" customWidth="1"/>
    <col min="4105" max="4106" width="10.85546875" customWidth="1"/>
    <col min="4107" max="4107" width="9.42578125" bestFit="1" customWidth="1"/>
    <col min="4108" max="4108" width="10.28515625" customWidth="1"/>
    <col min="4109" max="4109" width="10.140625" customWidth="1"/>
    <col min="4110" max="4110" width="8.5703125" customWidth="1"/>
    <col min="4111" max="4111" width="23.7109375" customWidth="1"/>
    <col min="4112" max="4112" width="9.28515625" customWidth="1"/>
    <col min="4113" max="4113" width="3.28515625" customWidth="1"/>
    <col min="4114" max="4115" width="13" customWidth="1"/>
    <col min="4116" max="4116" width="3.28515625" customWidth="1"/>
    <col min="4353" max="4353" width="3.5703125" customWidth="1"/>
    <col min="4354" max="4354" width="15.28515625" customWidth="1"/>
    <col min="4355" max="4356" width="10.140625" bestFit="1" customWidth="1"/>
    <col min="4357" max="4357" width="9.5703125" customWidth="1"/>
    <col min="4358" max="4358" width="11.28515625" customWidth="1"/>
    <col min="4359" max="4359" width="9.42578125" customWidth="1"/>
    <col min="4360" max="4360" width="8.5703125" customWidth="1"/>
    <col min="4361" max="4362" width="10.85546875" customWidth="1"/>
    <col min="4363" max="4363" width="9.42578125" bestFit="1" customWidth="1"/>
    <col min="4364" max="4364" width="10.28515625" customWidth="1"/>
    <col min="4365" max="4365" width="10.140625" customWidth="1"/>
    <col min="4366" max="4366" width="8.5703125" customWidth="1"/>
    <col min="4367" max="4367" width="23.7109375" customWidth="1"/>
    <col min="4368" max="4368" width="9.28515625" customWidth="1"/>
    <col min="4369" max="4369" width="3.28515625" customWidth="1"/>
    <col min="4370" max="4371" width="13" customWidth="1"/>
    <col min="4372" max="4372" width="3.28515625" customWidth="1"/>
    <col min="4609" max="4609" width="3.5703125" customWidth="1"/>
    <col min="4610" max="4610" width="15.28515625" customWidth="1"/>
    <col min="4611" max="4612" width="10.140625" bestFit="1" customWidth="1"/>
    <col min="4613" max="4613" width="9.5703125" customWidth="1"/>
    <col min="4614" max="4614" width="11.28515625" customWidth="1"/>
    <col min="4615" max="4615" width="9.42578125" customWidth="1"/>
    <col min="4616" max="4616" width="8.5703125" customWidth="1"/>
    <col min="4617" max="4618" width="10.85546875" customWidth="1"/>
    <col min="4619" max="4619" width="9.42578125" bestFit="1" customWidth="1"/>
    <col min="4620" max="4620" width="10.28515625" customWidth="1"/>
    <col min="4621" max="4621" width="10.140625" customWidth="1"/>
    <col min="4622" max="4622" width="8.5703125" customWidth="1"/>
    <col min="4623" max="4623" width="23.7109375" customWidth="1"/>
    <col min="4624" max="4624" width="9.28515625" customWidth="1"/>
    <col min="4625" max="4625" width="3.28515625" customWidth="1"/>
    <col min="4626" max="4627" width="13" customWidth="1"/>
    <col min="4628" max="4628" width="3.28515625" customWidth="1"/>
    <col min="4865" max="4865" width="3.5703125" customWidth="1"/>
    <col min="4866" max="4866" width="15.28515625" customWidth="1"/>
    <col min="4867" max="4868" width="10.140625" bestFit="1" customWidth="1"/>
    <col min="4869" max="4869" width="9.5703125" customWidth="1"/>
    <col min="4870" max="4870" width="11.28515625" customWidth="1"/>
    <col min="4871" max="4871" width="9.42578125" customWidth="1"/>
    <col min="4872" max="4872" width="8.5703125" customWidth="1"/>
    <col min="4873" max="4874" width="10.85546875" customWidth="1"/>
    <col min="4875" max="4875" width="9.42578125" bestFit="1" customWidth="1"/>
    <col min="4876" max="4876" width="10.28515625" customWidth="1"/>
    <col min="4877" max="4877" width="10.140625" customWidth="1"/>
    <col min="4878" max="4878" width="8.5703125" customWidth="1"/>
    <col min="4879" max="4879" width="23.7109375" customWidth="1"/>
    <col min="4880" max="4880" width="9.28515625" customWidth="1"/>
    <col min="4881" max="4881" width="3.28515625" customWidth="1"/>
    <col min="4882" max="4883" width="13" customWidth="1"/>
    <col min="4884" max="4884" width="3.28515625" customWidth="1"/>
    <col min="5121" max="5121" width="3.5703125" customWidth="1"/>
    <col min="5122" max="5122" width="15.28515625" customWidth="1"/>
    <col min="5123" max="5124" width="10.140625" bestFit="1" customWidth="1"/>
    <col min="5125" max="5125" width="9.5703125" customWidth="1"/>
    <col min="5126" max="5126" width="11.28515625" customWidth="1"/>
    <col min="5127" max="5127" width="9.42578125" customWidth="1"/>
    <col min="5128" max="5128" width="8.5703125" customWidth="1"/>
    <col min="5129" max="5130" width="10.85546875" customWidth="1"/>
    <col min="5131" max="5131" width="9.42578125" bestFit="1" customWidth="1"/>
    <col min="5132" max="5132" width="10.28515625" customWidth="1"/>
    <col min="5133" max="5133" width="10.140625" customWidth="1"/>
    <col min="5134" max="5134" width="8.5703125" customWidth="1"/>
    <col min="5135" max="5135" width="23.7109375" customWidth="1"/>
    <col min="5136" max="5136" width="9.28515625" customWidth="1"/>
    <col min="5137" max="5137" width="3.28515625" customWidth="1"/>
    <col min="5138" max="5139" width="13" customWidth="1"/>
    <col min="5140" max="5140" width="3.28515625" customWidth="1"/>
    <col min="5377" max="5377" width="3.5703125" customWidth="1"/>
    <col min="5378" max="5378" width="15.28515625" customWidth="1"/>
    <col min="5379" max="5380" width="10.140625" bestFit="1" customWidth="1"/>
    <col min="5381" max="5381" width="9.5703125" customWidth="1"/>
    <col min="5382" max="5382" width="11.28515625" customWidth="1"/>
    <col min="5383" max="5383" width="9.42578125" customWidth="1"/>
    <col min="5384" max="5384" width="8.5703125" customWidth="1"/>
    <col min="5385" max="5386" width="10.85546875" customWidth="1"/>
    <col min="5387" max="5387" width="9.42578125" bestFit="1" customWidth="1"/>
    <col min="5388" max="5388" width="10.28515625" customWidth="1"/>
    <col min="5389" max="5389" width="10.140625" customWidth="1"/>
    <col min="5390" max="5390" width="8.5703125" customWidth="1"/>
    <col min="5391" max="5391" width="23.7109375" customWidth="1"/>
    <col min="5392" max="5392" width="9.28515625" customWidth="1"/>
    <col min="5393" max="5393" width="3.28515625" customWidth="1"/>
    <col min="5394" max="5395" width="13" customWidth="1"/>
    <col min="5396" max="5396" width="3.28515625" customWidth="1"/>
    <col min="5633" max="5633" width="3.5703125" customWidth="1"/>
    <col min="5634" max="5634" width="15.28515625" customWidth="1"/>
    <col min="5635" max="5636" width="10.140625" bestFit="1" customWidth="1"/>
    <col min="5637" max="5637" width="9.5703125" customWidth="1"/>
    <col min="5638" max="5638" width="11.28515625" customWidth="1"/>
    <col min="5639" max="5639" width="9.42578125" customWidth="1"/>
    <col min="5640" max="5640" width="8.5703125" customWidth="1"/>
    <col min="5641" max="5642" width="10.85546875" customWidth="1"/>
    <col min="5643" max="5643" width="9.42578125" bestFit="1" customWidth="1"/>
    <col min="5644" max="5644" width="10.28515625" customWidth="1"/>
    <col min="5645" max="5645" width="10.140625" customWidth="1"/>
    <col min="5646" max="5646" width="8.5703125" customWidth="1"/>
    <col min="5647" max="5647" width="23.7109375" customWidth="1"/>
    <col min="5648" max="5648" width="9.28515625" customWidth="1"/>
    <col min="5649" max="5649" width="3.28515625" customWidth="1"/>
    <col min="5650" max="5651" width="13" customWidth="1"/>
    <col min="5652" max="5652" width="3.28515625" customWidth="1"/>
    <col min="5889" max="5889" width="3.5703125" customWidth="1"/>
    <col min="5890" max="5890" width="15.28515625" customWidth="1"/>
    <col min="5891" max="5892" width="10.140625" bestFit="1" customWidth="1"/>
    <col min="5893" max="5893" width="9.5703125" customWidth="1"/>
    <col min="5894" max="5894" width="11.28515625" customWidth="1"/>
    <col min="5895" max="5895" width="9.42578125" customWidth="1"/>
    <col min="5896" max="5896" width="8.5703125" customWidth="1"/>
    <col min="5897" max="5898" width="10.85546875" customWidth="1"/>
    <col min="5899" max="5899" width="9.42578125" bestFit="1" customWidth="1"/>
    <col min="5900" max="5900" width="10.28515625" customWidth="1"/>
    <col min="5901" max="5901" width="10.140625" customWidth="1"/>
    <col min="5902" max="5902" width="8.5703125" customWidth="1"/>
    <col min="5903" max="5903" width="23.7109375" customWidth="1"/>
    <col min="5904" max="5904" width="9.28515625" customWidth="1"/>
    <col min="5905" max="5905" width="3.28515625" customWidth="1"/>
    <col min="5906" max="5907" width="13" customWidth="1"/>
    <col min="5908" max="5908" width="3.28515625" customWidth="1"/>
    <col min="6145" max="6145" width="3.5703125" customWidth="1"/>
    <col min="6146" max="6146" width="15.28515625" customWidth="1"/>
    <col min="6147" max="6148" width="10.140625" bestFit="1" customWidth="1"/>
    <col min="6149" max="6149" width="9.5703125" customWidth="1"/>
    <col min="6150" max="6150" width="11.28515625" customWidth="1"/>
    <col min="6151" max="6151" width="9.42578125" customWidth="1"/>
    <col min="6152" max="6152" width="8.5703125" customWidth="1"/>
    <col min="6153" max="6154" width="10.85546875" customWidth="1"/>
    <col min="6155" max="6155" width="9.42578125" bestFit="1" customWidth="1"/>
    <col min="6156" max="6156" width="10.28515625" customWidth="1"/>
    <col min="6157" max="6157" width="10.140625" customWidth="1"/>
    <col min="6158" max="6158" width="8.5703125" customWidth="1"/>
    <col min="6159" max="6159" width="23.7109375" customWidth="1"/>
    <col min="6160" max="6160" width="9.28515625" customWidth="1"/>
    <col min="6161" max="6161" width="3.28515625" customWidth="1"/>
    <col min="6162" max="6163" width="13" customWidth="1"/>
    <col min="6164" max="6164" width="3.28515625" customWidth="1"/>
    <col min="6401" max="6401" width="3.5703125" customWidth="1"/>
    <col min="6402" max="6402" width="15.28515625" customWidth="1"/>
    <col min="6403" max="6404" width="10.140625" bestFit="1" customWidth="1"/>
    <col min="6405" max="6405" width="9.5703125" customWidth="1"/>
    <col min="6406" max="6406" width="11.28515625" customWidth="1"/>
    <col min="6407" max="6407" width="9.42578125" customWidth="1"/>
    <col min="6408" max="6408" width="8.5703125" customWidth="1"/>
    <col min="6409" max="6410" width="10.85546875" customWidth="1"/>
    <col min="6411" max="6411" width="9.42578125" bestFit="1" customWidth="1"/>
    <col min="6412" max="6412" width="10.28515625" customWidth="1"/>
    <col min="6413" max="6413" width="10.140625" customWidth="1"/>
    <col min="6414" max="6414" width="8.5703125" customWidth="1"/>
    <col min="6415" max="6415" width="23.7109375" customWidth="1"/>
    <col min="6416" max="6416" width="9.28515625" customWidth="1"/>
    <col min="6417" max="6417" width="3.28515625" customWidth="1"/>
    <col min="6418" max="6419" width="13" customWidth="1"/>
    <col min="6420" max="6420" width="3.28515625" customWidth="1"/>
    <col min="6657" max="6657" width="3.5703125" customWidth="1"/>
    <col min="6658" max="6658" width="15.28515625" customWidth="1"/>
    <col min="6659" max="6660" width="10.140625" bestFit="1" customWidth="1"/>
    <col min="6661" max="6661" width="9.5703125" customWidth="1"/>
    <col min="6662" max="6662" width="11.28515625" customWidth="1"/>
    <col min="6663" max="6663" width="9.42578125" customWidth="1"/>
    <col min="6664" max="6664" width="8.5703125" customWidth="1"/>
    <col min="6665" max="6666" width="10.85546875" customWidth="1"/>
    <col min="6667" max="6667" width="9.42578125" bestFit="1" customWidth="1"/>
    <col min="6668" max="6668" width="10.28515625" customWidth="1"/>
    <col min="6669" max="6669" width="10.140625" customWidth="1"/>
    <col min="6670" max="6670" width="8.5703125" customWidth="1"/>
    <col min="6671" max="6671" width="23.7109375" customWidth="1"/>
    <col min="6672" max="6672" width="9.28515625" customWidth="1"/>
    <col min="6673" max="6673" width="3.28515625" customWidth="1"/>
    <col min="6674" max="6675" width="13" customWidth="1"/>
    <col min="6676" max="6676" width="3.28515625" customWidth="1"/>
    <col min="6913" max="6913" width="3.5703125" customWidth="1"/>
    <col min="6914" max="6914" width="15.28515625" customWidth="1"/>
    <col min="6915" max="6916" width="10.140625" bestFit="1" customWidth="1"/>
    <col min="6917" max="6917" width="9.5703125" customWidth="1"/>
    <col min="6918" max="6918" width="11.28515625" customWidth="1"/>
    <col min="6919" max="6919" width="9.42578125" customWidth="1"/>
    <col min="6920" max="6920" width="8.5703125" customWidth="1"/>
    <col min="6921" max="6922" width="10.85546875" customWidth="1"/>
    <col min="6923" max="6923" width="9.42578125" bestFit="1" customWidth="1"/>
    <col min="6924" max="6924" width="10.28515625" customWidth="1"/>
    <col min="6925" max="6925" width="10.140625" customWidth="1"/>
    <col min="6926" max="6926" width="8.5703125" customWidth="1"/>
    <col min="6927" max="6927" width="23.7109375" customWidth="1"/>
    <col min="6928" max="6928" width="9.28515625" customWidth="1"/>
    <col min="6929" max="6929" width="3.28515625" customWidth="1"/>
    <col min="6930" max="6931" width="13" customWidth="1"/>
    <col min="6932" max="6932" width="3.28515625" customWidth="1"/>
    <col min="7169" max="7169" width="3.5703125" customWidth="1"/>
    <col min="7170" max="7170" width="15.28515625" customWidth="1"/>
    <col min="7171" max="7172" width="10.140625" bestFit="1" customWidth="1"/>
    <col min="7173" max="7173" width="9.5703125" customWidth="1"/>
    <col min="7174" max="7174" width="11.28515625" customWidth="1"/>
    <col min="7175" max="7175" width="9.42578125" customWidth="1"/>
    <col min="7176" max="7176" width="8.5703125" customWidth="1"/>
    <col min="7177" max="7178" width="10.85546875" customWidth="1"/>
    <col min="7179" max="7179" width="9.42578125" bestFit="1" customWidth="1"/>
    <col min="7180" max="7180" width="10.28515625" customWidth="1"/>
    <col min="7181" max="7181" width="10.140625" customWidth="1"/>
    <col min="7182" max="7182" width="8.5703125" customWidth="1"/>
    <col min="7183" max="7183" width="23.7109375" customWidth="1"/>
    <col min="7184" max="7184" width="9.28515625" customWidth="1"/>
    <col min="7185" max="7185" width="3.28515625" customWidth="1"/>
    <col min="7186" max="7187" width="13" customWidth="1"/>
    <col min="7188" max="7188" width="3.28515625" customWidth="1"/>
    <col min="7425" max="7425" width="3.5703125" customWidth="1"/>
    <col min="7426" max="7426" width="15.28515625" customWidth="1"/>
    <col min="7427" max="7428" width="10.140625" bestFit="1" customWidth="1"/>
    <col min="7429" max="7429" width="9.5703125" customWidth="1"/>
    <col min="7430" max="7430" width="11.28515625" customWidth="1"/>
    <col min="7431" max="7431" width="9.42578125" customWidth="1"/>
    <col min="7432" max="7432" width="8.5703125" customWidth="1"/>
    <col min="7433" max="7434" width="10.85546875" customWidth="1"/>
    <col min="7435" max="7435" width="9.42578125" bestFit="1" customWidth="1"/>
    <col min="7436" max="7436" width="10.28515625" customWidth="1"/>
    <col min="7437" max="7437" width="10.140625" customWidth="1"/>
    <col min="7438" max="7438" width="8.5703125" customWidth="1"/>
    <col min="7439" max="7439" width="23.7109375" customWidth="1"/>
    <col min="7440" max="7440" width="9.28515625" customWidth="1"/>
    <col min="7441" max="7441" width="3.28515625" customWidth="1"/>
    <col min="7442" max="7443" width="13" customWidth="1"/>
    <col min="7444" max="7444" width="3.28515625" customWidth="1"/>
    <col min="7681" max="7681" width="3.5703125" customWidth="1"/>
    <col min="7682" max="7682" width="15.28515625" customWidth="1"/>
    <col min="7683" max="7684" width="10.140625" bestFit="1" customWidth="1"/>
    <col min="7685" max="7685" width="9.5703125" customWidth="1"/>
    <col min="7686" max="7686" width="11.28515625" customWidth="1"/>
    <col min="7687" max="7687" width="9.42578125" customWidth="1"/>
    <col min="7688" max="7688" width="8.5703125" customWidth="1"/>
    <col min="7689" max="7690" width="10.85546875" customWidth="1"/>
    <col min="7691" max="7691" width="9.42578125" bestFit="1" customWidth="1"/>
    <col min="7692" max="7692" width="10.28515625" customWidth="1"/>
    <col min="7693" max="7693" width="10.140625" customWidth="1"/>
    <col min="7694" max="7694" width="8.5703125" customWidth="1"/>
    <col min="7695" max="7695" width="23.7109375" customWidth="1"/>
    <col min="7696" max="7696" width="9.28515625" customWidth="1"/>
    <col min="7697" max="7697" width="3.28515625" customWidth="1"/>
    <col min="7698" max="7699" width="13" customWidth="1"/>
    <col min="7700" max="7700" width="3.28515625" customWidth="1"/>
    <col min="7937" max="7937" width="3.5703125" customWidth="1"/>
    <col min="7938" max="7938" width="15.28515625" customWidth="1"/>
    <col min="7939" max="7940" width="10.140625" bestFit="1" customWidth="1"/>
    <col min="7941" max="7941" width="9.5703125" customWidth="1"/>
    <col min="7942" max="7942" width="11.28515625" customWidth="1"/>
    <col min="7943" max="7943" width="9.42578125" customWidth="1"/>
    <col min="7944" max="7944" width="8.5703125" customWidth="1"/>
    <col min="7945" max="7946" width="10.85546875" customWidth="1"/>
    <col min="7947" max="7947" width="9.42578125" bestFit="1" customWidth="1"/>
    <col min="7948" max="7948" width="10.28515625" customWidth="1"/>
    <col min="7949" max="7949" width="10.140625" customWidth="1"/>
    <col min="7950" max="7950" width="8.5703125" customWidth="1"/>
    <col min="7951" max="7951" width="23.7109375" customWidth="1"/>
    <col min="7952" max="7952" width="9.28515625" customWidth="1"/>
    <col min="7953" max="7953" width="3.28515625" customWidth="1"/>
    <col min="7954" max="7955" width="13" customWidth="1"/>
    <col min="7956" max="7956" width="3.28515625" customWidth="1"/>
    <col min="8193" max="8193" width="3.5703125" customWidth="1"/>
    <col min="8194" max="8194" width="15.28515625" customWidth="1"/>
    <col min="8195" max="8196" width="10.140625" bestFit="1" customWidth="1"/>
    <col min="8197" max="8197" width="9.5703125" customWidth="1"/>
    <col min="8198" max="8198" width="11.28515625" customWidth="1"/>
    <col min="8199" max="8199" width="9.42578125" customWidth="1"/>
    <col min="8200" max="8200" width="8.5703125" customWidth="1"/>
    <col min="8201" max="8202" width="10.85546875" customWidth="1"/>
    <col min="8203" max="8203" width="9.42578125" bestFit="1" customWidth="1"/>
    <col min="8204" max="8204" width="10.28515625" customWidth="1"/>
    <col min="8205" max="8205" width="10.140625" customWidth="1"/>
    <col min="8206" max="8206" width="8.5703125" customWidth="1"/>
    <col min="8207" max="8207" width="23.7109375" customWidth="1"/>
    <col min="8208" max="8208" width="9.28515625" customWidth="1"/>
    <col min="8209" max="8209" width="3.28515625" customWidth="1"/>
    <col min="8210" max="8211" width="13" customWidth="1"/>
    <col min="8212" max="8212" width="3.28515625" customWidth="1"/>
    <col min="8449" max="8449" width="3.5703125" customWidth="1"/>
    <col min="8450" max="8450" width="15.28515625" customWidth="1"/>
    <col min="8451" max="8452" width="10.140625" bestFit="1" customWidth="1"/>
    <col min="8453" max="8453" width="9.5703125" customWidth="1"/>
    <col min="8454" max="8454" width="11.28515625" customWidth="1"/>
    <col min="8455" max="8455" width="9.42578125" customWidth="1"/>
    <col min="8456" max="8456" width="8.5703125" customWidth="1"/>
    <col min="8457" max="8458" width="10.85546875" customWidth="1"/>
    <col min="8459" max="8459" width="9.42578125" bestFit="1" customWidth="1"/>
    <col min="8460" max="8460" width="10.28515625" customWidth="1"/>
    <col min="8461" max="8461" width="10.140625" customWidth="1"/>
    <col min="8462" max="8462" width="8.5703125" customWidth="1"/>
    <col min="8463" max="8463" width="23.7109375" customWidth="1"/>
    <col min="8464" max="8464" width="9.28515625" customWidth="1"/>
    <col min="8465" max="8465" width="3.28515625" customWidth="1"/>
    <col min="8466" max="8467" width="13" customWidth="1"/>
    <col min="8468" max="8468" width="3.28515625" customWidth="1"/>
    <col min="8705" max="8705" width="3.5703125" customWidth="1"/>
    <col min="8706" max="8706" width="15.28515625" customWidth="1"/>
    <col min="8707" max="8708" width="10.140625" bestFit="1" customWidth="1"/>
    <col min="8709" max="8709" width="9.5703125" customWidth="1"/>
    <col min="8710" max="8710" width="11.28515625" customWidth="1"/>
    <col min="8711" max="8711" width="9.42578125" customWidth="1"/>
    <col min="8712" max="8712" width="8.5703125" customWidth="1"/>
    <col min="8713" max="8714" width="10.85546875" customWidth="1"/>
    <col min="8715" max="8715" width="9.42578125" bestFit="1" customWidth="1"/>
    <col min="8716" max="8716" width="10.28515625" customWidth="1"/>
    <col min="8717" max="8717" width="10.140625" customWidth="1"/>
    <col min="8718" max="8718" width="8.5703125" customWidth="1"/>
    <col min="8719" max="8719" width="23.7109375" customWidth="1"/>
    <col min="8720" max="8720" width="9.28515625" customWidth="1"/>
    <col min="8721" max="8721" width="3.28515625" customWidth="1"/>
    <col min="8722" max="8723" width="13" customWidth="1"/>
    <col min="8724" max="8724" width="3.28515625" customWidth="1"/>
    <col min="8961" max="8961" width="3.5703125" customWidth="1"/>
    <col min="8962" max="8962" width="15.28515625" customWidth="1"/>
    <col min="8963" max="8964" width="10.140625" bestFit="1" customWidth="1"/>
    <col min="8965" max="8965" width="9.5703125" customWidth="1"/>
    <col min="8966" max="8966" width="11.28515625" customWidth="1"/>
    <col min="8967" max="8967" width="9.42578125" customWidth="1"/>
    <col min="8968" max="8968" width="8.5703125" customWidth="1"/>
    <col min="8969" max="8970" width="10.85546875" customWidth="1"/>
    <col min="8971" max="8971" width="9.42578125" bestFit="1" customWidth="1"/>
    <col min="8972" max="8972" width="10.28515625" customWidth="1"/>
    <col min="8973" max="8973" width="10.140625" customWidth="1"/>
    <col min="8974" max="8974" width="8.5703125" customWidth="1"/>
    <col min="8975" max="8975" width="23.7109375" customWidth="1"/>
    <col min="8976" max="8976" width="9.28515625" customWidth="1"/>
    <col min="8977" max="8977" width="3.28515625" customWidth="1"/>
    <col min="8978" max="8979" width="13" customWidth="1"/>
    <col min="8980" max="8980" width="3.28515625" customWidth="1"/>
    <col min="9217" max="9217" width="3.5703125" customWidth="1"/>
    <col min="9218" max="9218" width="15.28515625" customWidth="1"/>
    <col min="9219" max="9220" width="10.140625" bestFit="1" customWidth="1"/>
    <col min="9221" max="9221" width="9.5703125" customWidth="1"/>
    <col min="9222" max="9222" width="11.28515625" customWidth="1"/>
    <col min="9223" max="9223" width="9.42578125" customWidth="1"/>
    <col min="9224" max="9224" width="8.5703125" customWidth="1"/>
    <col min="9225" max="9226" width="10.85546875" customWidth="1"/>
    <col min="9227" max="9227" width="9.42578125" bestFit="1" customWidth="1"/>
    <col min="9228" max="9228" width="10.28515625" customWidth="1"/>
    <col min="9229" max="9229" width="10.140625" customWidth="1"/>
    <col min="9230" max="9230" width="8.5703125" customWidth="1"/>
    <col min="9231" max="9231" width="23.7109375" customWidth="1"/>
    <col min="9232" max="9232" width="9.28515625" customWidth="1"/>
    <col min="9233" max="9233" width="3.28515625" customWidth="1"/>
    <col min="9234" max="9235" width="13" customWidth="1"/>
    <col min="9236" max="9236" width="3.28515625" customWidth="1"/>
    <col min="9473" max="9473" width="3.5703125" customWidth="1"/>
    <col min="9474" max="9474" width="15.28515625" customWidth="1"/>
    <col min="9475" max="9476" width="10.140625" bestFit="1" customWidth="1"/>
    <col min="9477" max="9477" width="9.5703125" customWidth="1"/>
    <col min="9478" max="9478" width="11.28515625" customWidth="1"/>
    <col min="9479" max="9479" width="9.42578125" customWidth="1"/>
    <col min="9480" max="9480" width="8.5703125" customWidth="1"/>
    <col min="9481" max="9482" width="10.85546875" customWidth="1"/>
    <col min="9483" max="9483" width="9.42578125" bestFit="1" customWidth="1"/>
    <col min="9484" max="9484" width="10.28515625" customWidth="1"/>
    <col min="9485" max="9485" width="10.140625" customWidth="1"/>
    <col min="9486" max="9486" width="8.5703125" customWidth="1"/>
    <col min="9487" max="9487" width="23.7109375" customWidth="1"/>
    <col min="9488" max="9488" width="9.28515625" customWidth="1"/>
    <col min="9489" max="9489" width="3.28515625" customWidth="1"/>
    <col min="9490" max="9491" width="13" customWidth="1"/>
    <col min="9492" max="9492" width="3.28515625" customWidth="1"/>
    <col min="9729" max="9729" width="3.5703125" customWidth="1"/>
    <col min="9730" max="9730" width="15.28515625" customWidth="1"/>
    <col min="9731" max="9732" width="10.140625" bestFit="1" customWidth="1"/>
    <col min="9733" max="9733" width="9.5703125" customWidth="1"/>
    <col min="9734" max="9734" width="11.28515625" customWidth="1"/>
    <col min="9735" max="9735" width="9.42578125" customWidth="1"/>
    <col min="9736" max="9736" width="8.5703125" customWidth="1"/>
    <col min="9737" max="9738" width="10.85546875" customWidth="1"/>
    <col min="9739" max="9739" width="9.42578125" bestFit="1" customWidth="1"/>
    <col min="9740" max="9740" width="10.28515625" customWidth="1"/>
    <col min="9741" max="9741" width="10.140625" customWidth="1"/>
    <col min="9742" max="9742" width="8.5703125" customWidth="1"/>
    <col min="9743" max="9743" width="23.7109375" customWidth="1"/>
    <col min="9744" max="9744" width="9.28515625" customWidth="1"/>
    <col min="9745" max="9745" width="3.28515625" customWidth="1"/>
    <col min="9746" max="9747" width="13" customWidth="1"/>
    <col min="9748" max="9748" width="3.28515625" customWidth="1"/>
    <col min="9985" max="9985" width="3.5703125" customWidth="1"/>
    <col min="9986" max="9986" width="15.28515625" customWidth="1"/>
    <col min="9987" max="9988" width="10.140625" bestFit="1" customWidth="1"/>
    <col min="9989" max="9989" width="9.5703125" customWidth="1"/>
    <col min="9990" max="9990" width="11.28515625" customWidth="1"/>
    <col min="9991" max="9991" width="9.42578125" customWidth="1"/>
    <col min="9992" max="9992" width="8.5703125" customWidth="1"/>
    <col min="9993" max="9994" width="10.85546875" customWidth="1"/>
    <col min="9995" max="9995" width="9.42578125" bestFit="1" customWidth="1"/>
    <col min="9996" max="9996" width="10.28515625" customWidth="1"/>
    <col min="9997" max="9997" width="10.140625" customWidth="1"/>
    <col min="9998" max="9998" width="8.5703125" customWidth="1"/>
    <col min="9999" max="9999" width="23.7109375" customWidth="1"/>
    <col min="10000" max="10000" width="9.28515625" customWidth="1"/>
    <col min="10001" max="10001" width="3.28515625" customWidth="1"/>
    <col min="10002" max="10003" width="13" customWidth="1"/>
    <col min="10004" max="10004" width="3.28515625" customWidth="1"/>
    <col min="10241" max="10241" width="3.5703125" customWidth="1"/>
    <col min="10242" max="10242" width="15.28515625" customWidth="1"/>
    <col min="10243" max="10244" width="10.140625" bestFit="1" customWidth="1"/>
    <col min="10245" max="10245" width="9.5703125" customWidth="1"/>
    <col min="10246" max="10246" width="11.28515625" customWidth="1"/>
    <col min="10247" max="10247" width="9.42578125" customWidth="1"/>
    <col min="10248" max="10248" width="8.5703125" customWidth="1"/>
    <col min="10249" max="10250" width="10.85546875" customWidth="1"/>
    <col min="10251" max="10251" width="9.42578125" bestFit="1" customWidth="1"/>
    <col min="10252" max="10252" width="10.28515625" customWidth="1"/>
    <col min="10253" max="10253" width="10.140625" customWidth="1"/>
    <col min="10254" max="10254" width="8.5703125" customWidth="1"/>
    <col min="10255" max="10255" width="23.7109375" customWidth="1"/>
    <col min="10256" max="10256" width="9.28515625" customWidth="1"/>
    <col min="10257" max="10257" width="3.28515625" customWidth="1"/>
    <col min="10258" max="10259" width="13" customWidth="1"/>
    <col min="10260" max="10260" width="3.28515625" customWidth="1"/>
    <col min="10497" max="10497" width="3.5703125" customWidth="1"/>
    <col min="10498" max="10498" width="15.28515625" customWidth="1"/>
    <col min="10499" max="10500" width="10.140625" bestFit="1" customWidth="1"/>
    <col min="10501" max="10501" width="9.5703125" customWidth="1"/>
    <col min="10502" max="10502" width="11.28515625" customWidth="1"/>
    <col min="10503" max="10503" width="9.42578125" customWidth="1"/>
    <col min="10504" max="10504" width="8.5703125" customWidth="1"/>
    <col min="10505" max="10506" width="10.85546875" customWidth="1"/>
    <col min="10507" max="10507" width="9.42578125" bestFit="1" customWidth="1"/>
    <col min="10508" max="10508" width="10.28515625" customWidth="1"/>
    <col min="10509" max="10509" width="10.140625" customWidth="1"/>
    <col min="10510" max="10510" width="8.5703125" customWidth="1"/>
    <col min="10511" max="10511" width="23.7109375" customWidth="1"/>
    <col min="10512" max="10512" width="9.28515625" customWidth="1"/>
    <col min="10513" max="10513" width="3.28515625" customWidth="1"/>
    <col min="10514" max="10515" width="13" customWidth="1"/>
    <col min="10516" max="10516" width="3.28515625" customWidth="1"/>
    <col min="10753" max="10753" width="3.5703125" customWidth="1"/>
    <col min="10754" max="10754" width="15.28515625" customWidth="1"/>
    <col min="10755" max="10756" width="10.140625" bestFit="1" customWidth="1"/>
    <col min="10757" max="10757" width="9.5703125" customWidth="1"/>
    <col min="10758" max="10758" width="11.28515625" customWidth="1"/>
    <col min="10759" max="10759" width="9.42578125" customWidth="1"/>
    <col min="10760" max="10760" width="8.5703125" customWidth="1"/>
    <col min="10761" max="10762" width="10.85546875" customWidth="1"/>
    <col min="10763" max="10763" width="9.42578125" bestFit="1" customWidth="1"/>
    <col min="10764" max="10764" width="10.28515625" customWidth="1"/>
    <col min="10765" max="10765" width="10.140625" customWidth="1"/>
    <col min="10766" max="10766" width="8.5703125" customWidth="1"/>
    <col min="10767" max="10767" width="23.7109375" customWidth="1"/>
    <col min="10768" max="10768" width="9.28515625" customWidth="1"/>
    <col min="10769" max="10769" width="3.28515625" customWidth="1"/>
    <col min="10770" max="10771" width="13" customWidth="1"/>
    <col min="10772" max="10772" width="3.28515625" customWidth="1"/>
    <col min="11009" max="11009" width="3.5703125" customWidth="1"/>
    <col min="11010" max="11010" width="15.28515625" customWidth="1"/>
    <col min="11011" max="11012" width="10.140625" bestFit="1" customWidth="1"/>
    <col min="11013" max="11013" width="9.5703125" customWidth="1"/>
    <col min="11014" max="11014" width="11.28515625" customWidth="1"/>
    <col min="11015" max="11015" width="9.42578125" customWidth="1"/>
    <col min="11016" max="11016" width="8.5703125" customWidth="1"/>
    <col min="11017" max="11018" width="10.85546875" customWidth="1"/>
    <col min="11019" max="11019" width="9.42578125" bestFit="1" customWidth="1"/>
    <col min="11020" max="11020" width="10.28515625" customWidth="1"/>
    <col min="11021" max="11021" width="10.140625" customWidth="1"/>
    <col min="11022" max="11022" width="8.5703125" customWidth="1"/>
    <col min="11023" max="11023" width="23.7109375" customWidth="1"/>
    <col min="11024" max="11024" width="9.28515625" customWidth="1"/>
    <col min="11025" max="11025" width="3.28515625" customWidth="1"/>
    <col min="11026" max="11027" width="13" customWidth="1"/>
    <col min="11028" max="11028" width="3.28515625" customWidth="1"/>
    <col min="11265" max="11265" width="3.5703125" customWidth="1"/>
    <col min="11266" max="11266" width="15.28515625" customWidth="1"/>
    <col min="11267" max="11268" width="10.140625" bestFit="1" customWidth="1"/>
    <col min="11269" max="11269" width="9.5703125" customWidth="1"/>
    <col min="11270" max="11270" width="11.28515625" customWidth="1"/>
    <col min="11271" max="11271" width="9.42578125" customWidth="1"/>
    <col min="11272" max="11272" width="8.5703125" customWidth="1"/>
    <col min="11273" max="11274" width="10.85546875" customWidth="1"/>
    <col min="11275" max="11275" width="9.42578125" bestFit="1" customWidth="1"/>
    <col min="11276" max="11276" width="10.28515625" customWidth="1"/>
    <col min="11277" max="11277" width="10.140625" customWidth="1"/>
    <col min="11278" max="11278" width="8.5703125" customWidth="1"/>
    <col min="11279" max="11279" width="23.7109375" customWidth="1"/>
    <col min="11280" max="11280" width="9.28515625" customWidth="1"/>
    <col min="11281" max="11281" width="3.28515625" customWidth="1"/>
    <col min="11282" max="11283" width="13" customWidth="1"/>
    <col min="11284" max="11284" width="3.28515625" customWidth="1"/>
    <col min="11521" max="11521" width="3.5703125" customWidth="1"/>
    <col min="11522" max="11522" width="15.28515625" customWidth="1"/>
    <col min="11523" max="11524" width="10.140625" bestFit="1" customWidth="1"/>
    <col min="11525" max="11525" width="9.5703125" customWidth="1"/>
    <col min="11526" max="11526" width="11.28515625" customWidth="1"/>
    <col min="11527" max="11527" width="9.42578125" customWidth="1"/>
    <col min="11528" max="11528" width="8.5703125" customWidth="1"/>
    <col min="11529" max="11530" width="10.85546875" customWidth="1"/>
    <col min="11531" max="11531" width="9.42578125" bestFit="1" customWidth="1"/>
    <col min="11532" max="11532" width="10.28515625" customWidth="1"/>
    <col min="11533" max="11533" width="10.140625" customWidth="1"/>
    <col min="11534" max="11534" width="8.5703125" customWidth="1"/>
    <col min="11535" max="11535" width="23.7109375" customWidth="1"/>
    <col min="11536" max="11536" width="9.28515625" customWidth="1"/>
    <col min="11537" max="11537" width="3.28515625" customWidth="1"/>
    <col min="11538" max="11539" width="13" customWidth="1"/>
    <col min="11540" max="11540" width="3.28515625" customWidth="1"/>
    <col min="11777" max="11777" width="3.5703125" customWidth="1"/>
    <col min="11778" max="11778" width="15.28515625" customWidth="1"/>
    <col min="11779" max="11780" width="10.140625" bestFit="1" customWidth="1"/>
    <col min="11781" max="11781" width="9.5703125" customWidth="1"/>
    <col min="11782" max="11782" width="11.28515625" customWidth="1"/>
    <col min="11783" max="11783" width="9.42578125" customWidth="1"/>
    <col min="11784" max="11784" width="8.5703125" customWidth="1"/>
    <col min="11785" max="11786" width="10.85546875" customWidth="1"/>
    <col min="11787" max="11787" width="9.42578125" bestFit="1" customWidth="1"/>
    <col min="11788" max="11788" width="10.28515625" customWidth="1"/>
    <col min="11789" max="11789" width="10.140625" customWidth="1"/>
    <col min="11790" max="11790" width="8.5703125" customWidth="1"/>
    <col min="11791" max="11791" width="23.7109375" customWidth="1"/>
    <col min="11792" max="11792" width="9.28515625" customWidth="1"/>
    <col min="11793" max="11793" width="3.28515625" customWidth="1"/>
    <col min="11794" max="11795" width="13" customWidth="1"/>
    <col min="11796" max="11796" width="3.28515625" customWidth="1"/>
    <col min="12033" max="12033" width="3.5703125" customWidth="1"/>
    <col min="12034" max="12034" width="15.28515625" customWidth="1"/>
    <col min="12035" max="12036" width="10.140625" bestFit="1" customWidth="1"/>
    <col min="12037" max="12037" width="9.5703125" customWidth="1"/>
    <col min="12038" max="12038" width="11.28515625" customWidth="1"/>
    <col min="12039" max="12039" width="9.42578125" customWidth="1"/>
    <col min="12040" max="12040" width="8.5703125" customWidth="1"/>
    <col min="12041" max="12042" width="10.85546875" customWidth="1"/>
    <col min="12043" max="12043" width="9.42578125" bestFit="1" customWidth="1"/>
    <col min="12044" max="12044" width="10.28515625" customWidth="1"/>
    <col min="12045" max="12045" width="10.140625" customWidth="1"/>
    <col min="12046" max="12046" width="8.5703125" customWidth="1"/>
    <col min="12047" max="12047" width="23.7109375" customWidth="1"/>
    <col min="12048" max="12048" width="9.28515625" customWidth="1"/>
    <col min="12049" max="12049" width="3.28515625" customWidth="1"/>
    <col min="12050" max="12051" width="13" customWidth="1"/>
    <col min="12052" max="12052" width="3.28515625" customWidth="1"/>
    <col min="12289" max="12289" width="3.5703125" customWidth="1"/>
    <col min="12290" max="12290" width="15.28515625" customWidth="1"/>
    <col min="12291" max="12292" width="10.140625" bestFit="1" customWidth="1"/>
    <col min="12293" max="12293" width="9.5703125" customWidth="1"/>
    <col min="12294" max="12294" width="11.28515625" customWidth="1"/>
    <col min="12295" max="12295" width="9.42578125" customWidth="1"/>
    <col min="12296" max="12296" width="8.5703125" customWidth="1"/>
    <col min="12297" max="12298" width="10.85546875" customWidth="1"/>
    <col min="12299" max="12299" width="9.42578125" bestFit="1" customWidth="1"/>
    <col min="12300" max="12300" width="10.28515625" customWidth="1"/>
    <col min="12301" max="12301" width="10.140625" customWidth="1"/>
    <col min="12302" max="12302" width="8.5703125" customWidth="1"/>
    <col min="12303" max="12303" width="23.7109375" customWidth="1"/>
    <col min="12304" max="12304" width="9.28515625" customWidth="1"/>
    <col min="12305" max="12305" width="3.28515625" customWidth="1"/>
    <col min="12306" max="12307" width="13" customWidth="1"/>
    <col min="12308" max="12308" width="3.28515625" customWidth="1"/>
    <col min="12545" max="12545" width="3.5703125" customWidth="1"/>
    <col min="12546" max="12546" width="15.28515625" customWidth="1"/>
    <col min="12547" max="12548" width="10.140625" bestFit="1" customWidth="1"/>
    <col min="12549" max="12549" width="9.5703125" customWidth="1"/>
    <col min="12550" max="12550" width="11.28515625" customWidth="1"/>
    <col min="12551" max="12551" width="9.42578125" customWidth="1"/>
    <col min="12552" max="12552" width="8.5703125" customWidth="1"/>
    <col min="12553" max="12554" width="10.85546875" customWidth="1"/>
    <col min="12555" max="12555" width="9.42578125" bestFit="1" customWidth="1"/>
    <col min="12556" max="12556" width="10.28515625" customWidth="1"/>
    <col min="12557" max="12557" width="10.140625" customWidth="1"/>
    <col min="12558" max="12558" width="8.5703125" customWidth="1"/>
    <col min="12559" max="12559" width="23.7109375" customWidth="1"/>
    <col min="12560" max="12560" width="9.28515625" customWidth="1"/>
    <col min="12561" max="12561" width="3.28515625" customWidth="1"/>
    <col min="12562" max="12563" width="13" customWidth="1"/>
    <col min="12564" max="12564" width="3.28515625" customWidth="1"/>
    <col min="12801" max="12801" width="3.5703125" customWidth="1"/>
    <col min="12802" max="12802" width="15.28515625" customWidth="1"/>
    <col min="12803" max="12804" width="10.140625" bestFit="1" customWidth="1"/>
    <col min="12805" max="12805" width="9.5703125" customWidth="1"/>
    <col min="12806" max="12806" width="11.28515625" customWidth="1"/>
    <col min="12807" max="12807" width="9.42578125" customWidth="1"/>
    <col min="12808" max="12808" width="8.5703125" customWidth="1"/>
    <col min="12809" max="12810" width="10.85546875" customWidth="1"/>
    <col min="12811" max="12811" width="9.42578125" bestFit="1" customWidth="1"/>
    <col min="12812" max="12812" width="10.28515625" customWidth="1"/>
    <col min="12813" max="12813" width="10.140625" customWidth="1"/>
    <col min="12814" max="12814" width="8.5703125" customWidth="1"/>
    <col min="12815" max="12815" width="23.7109375" customWidth="1"/>
    <col min="12816" max="12816" width="9.28515625" customWidth="1"/>
    <col min="12817" max="12817" width="3.28515625" customWidth="1"/>
    <col min="12818" max="12819" width="13" customWidth="1"/>
    <col min="12820" max="12820" width="3.28515625" customWidth="1"/>
    <col min="13057" max="13057" width="3.5703125" customWidth="1"/>
    <col min="13058" max="13058" width="15.28515625" customWidth="1"/>
    <col min="13059" max="13060" width="10.140625" bestFit="1" customWidth="1"/>
    <col min="13061" max="13061" width="9.5703125" customWidth="1"/>
    <col min="13062" max="13062" width="11.28515625" customWidth="1"/>
    <col min="13063" max="13063" width="9.42578125" customWidth="1"/>
    <col min="13064" max="13064" width="8.5703125" customWidth="1"/>
    <col min="13065" max="13066" width="10.85546875" customWidth="1"/>
    <col min="13067" max="13067" width="9.42578125" bestFit="1" customWidth="1"/>
    <col min="13068" max="13068" width="10.28515625" customWidth="1"/>
    <col min="13069" max="13069" width="10.140625" customWidth="1"/>
    <col min="13070" max="13070" width="8.5703125" customWidth="1"/>
    <col min="13071" max="13071" width="23.7109375" customWidth="1"/>
    <col min="13072" max="13072" width="9.28515625" customWidth="1"/>
    <col min="13073" max="13073" width="3.28515625" customWidth="1"/>
    <col min="13074" max="13075" width="13" customWidth="1"/>
    <col min="13076" max="13076" width="3.28515625" customWidth="1"/>
    <col min="13313" max="13313" width="3.5703125" customWidth="1"/>
    <col min="13314" max="13314" width="15.28515625" customWidth="1"/>
    <col min="13315" max="13316" width="10.140625" bestFit="1" customWidth="1"/>
    <col min="13317" max="13317" width="9.5703125" customWidth="1"/>
    <col min="13318" max="13318" width="11.28515625" customWidth="1"/>
    <col min="13319" max="13319" width="9.42578125" customWidth="1"/>
    <col min="13320" max="13320" width="8.5703125" customWidth="1"/>
    <col min="13321" max="13322" width="10.85546875" customWidth="1"/>
    <col min="13323" max="13323" width="9.42578125" bestFit="1" customWidth="1"/>
    <col min="13324" max="13324" width="10.28515625" customWidth="1"/>
    <col min="13325" max="13325" width="10.140625" customWidth="1"/>
    <col min="13326" max="13326" width="8.5703125" customWidth="1"/>
    <col min="13327" max="13327" width="23.7109375" customWidth="1"/>
    <col min="13328" max="13328" width="9.28515625" customWidth="1"/>
    <col min="13329" max="13329" width="3.28515625" customWidth="1"/>
    <col min="13330" max="13331" width="13" customWidth="1"/>
    <col min="13332" max="13332" width="3.28515625" customWidth="1"/>
    <col min="13569" max="13569" width="3.5703125" customWidth="1"/>
    <col min="13570" max="13570" width="15.28515625" customWidth="1"/>
    <col min="13571" max="13572" width="10.140625" bestFit="1" customWidth="1"/>
    <col min="13573" max="13573" width="9.5703125" customWidth="1"/>
    <col min="13574" max="13574" width="11.28515625" customWidth="1"/>
    <col min="13575" max="13575" width="9.42578125" customWidth="1"/>
    <col min="13576" max="13576" width="8.5703125" customWidth="1"/>
    <col min="13577" max="13578" width="10.85546875" customWidth="1"/>
    <col min="13579" max="13579" width="9.42578125" bestFit="1" customWidth="1"/>
    <col min="13580" max="13580" width="10.28515625" customWidth="1"/>
    <col min="13581" max="13581" width="10.140625" customWidth="1"/>
    <col min="13582" max="13582" width="8.5703125" customWidth="1"/>
    <col min="13583" max="13583" width="23.7109375" customWidth="1"/>
    <col min="13584" max="13584" width="9.28515625" customWidth="1"/>
    <col min="13585" max="13585" width="3.28515625" customWidth="1"/>
    <col min="13586" max="13587" width="13" customWidth="1"/>
    <col min="13588" max="13588" width="3.28515625" customWidth="1"/>
    <col min="13825" max="13825" width="3.5703125" customWidth="1"/>
    <col min="13826" max="13826" width="15.28515625" customWidth="1"/>
    <col min="13827" max="13828" width="10.140625" bestFit="1" customWidth="1"/>
    <col min="13829" max="13829" width="9.5703125" customWidth="1"/>
    <col min="13830" max="13830" width="11.28515625" customWidth="1"/>
    <col min="13831" max="13831" width="9.42578125" customWidth="1"/>
    <col min="13832" max="13832" width="8.5703125" customWidth="1"/>
    <col min="13833" max="13834" width="10.85546875" customWidth="1"/>
    <col min="13835" max="13835" width="9.42578125" bestFit="1" customWidth="1"/>
    <col min="13836" max="13836" width="10.28515625" customWidth="1"/>
    <col min="13837" max="13837" width="10.140625" customWidth="1"/>
    <col min="13838" max="13838" width="8.5703125" customWidth="1"/>
    <col min="13839" max="13839" width="23.7109375" customWidth="1"/>
    <col min="13840" max="13840" width="9.28515625" customWidth="1"/>
    <col min="13841" max="13841" width="3.28515625" customWidth="1"/>
    <col min="13842" max="13843" width="13" customWidth="1"/>
    <col min="13844" max="13844" width="3.28515625" customWidth="1"/>
    <col min="14081" max="14081" width="3.5703125" customWidth="1"/>
    <col min="14082" max="14082" width="15.28515625" customWidth="1"/>
    <col min="14083" max="14084" width="10.140625" bestFit="1" customWidth="1"/>
    <col min="14085" max="14085" width="9.5703125" customWidth="1"/>
    <col min="14086" max="14086" width="11.28515625" customWidth="1"/>
    <col min="14087" max="14087" width="9.42578125" customWidth="1"/>
    <col min="14088" max="14088" width="8.5703125" customWidth="1"/>
    <col min="14089" max="14090" width="10.85546875" customWidth="1"/>
    <col min="14091" max="14091" width="9.42578125" bestFit="1" customWidth="1"/>
    <col min="14092" max="14092" width="10.28515625" customWidth="1"/>
    <col min="14093" max="14093" width="10.140625" customWidth="1"/>
    <col min="14094" max="14094" width="8.5703125" customWidth="1"/>
    <col min="14095" max="14095" width="23.7109375" customWidth="1"/>
    <col min="14096" max="14096" width="9.28515625" customWidth="1"/>
    <col min="14097" max="14097" width="3.28515625" customWidth="1"/>
    <col min="14098" max="14099" width="13" customWidth="1"/>
    <col min="14100" max="14100" width="3.28515625" customWidth="1"/>
    <col min="14337" max="14337" width="3.5703125" customWidth="1"/>
    <col min="14338" max="14338" width="15.28515625" customWidth="1"/>
    <col min="14339" max="14340" width="10.140625" bestFit="1" customWidth="1"/>
    <col min="14341" max="14341" width="9.5703125" customWidth="1"/>
    <col min="14342" max="14342" width="11.28515625" customWidth="1"/>
    <col min="14343" max="14343" width="9.42578125" customWidth="1"/>
    <col min="14344" max="14344" width="8.5703125" customWidth="1"/>
    <col min="14345" max="14346" width="10.85546875" customWidth="1"/>
    <col min="14347" max="14347" width="9.42578125" bestFit="1" customWidth="1"/>
    <col min="14348" max="14348" width="10.28515625" customWidth="1"/>
    <col min="14349" max="14349" width="10.140625" customWidth="1"/>
    <col min="14350" max="14350" width="8.5703125" customWidth="1"/>
    <col min="14351" max="14351" width="23.7109375" customWidth="1"/>
    <col min="14352" max="14352" width="9.28515625" customWidth="1"/>
    <col min="14353" max="14353" width="3.28515625" customWidth="1"/>
    <col min="14354" max="14355" width="13" customWidth="1"/>
    <col min="14356" max="14356" width="3.28515625" customWidth="1"/>
    <col min="14593" max="14593" width="3.5703125" customWidth="1"/>
    <col min="14594" max="14594" width="15.28515625" customWidth="1"/>
    <col min="14595" max="14596" width="10.140625" bestFit="1" customWidth="1"/>
    <col min="14597" max="14597" width="9.5703125" customWidth="1"/>
    <col min="14598" max="14598" width="11.28515625" customWidth="1"/>
    <col min="14599" max="14599" width="9.42578125" customWidth="1"/>
    <col min="14600" max="14600" width="8.5703125" customWidth="1"/>
    <col min="14601" max="14602" width="10.85546875" customWidth="1"/>
    <col min="14603" max="14603" width="9.42578125" bestFit="1" customWidth="1"/>
    <col min="14604" max="14604" width="10.28515625" customWidth="1"/>
    <col min="14605" max="14605" width="10.140625" customWidth="1"/>
    <col min="14606" max="14606" width="8.5703125" customWidth="1"/>
    <col min="14607" max="14607" width="23.7109375" customWidth="1"/>
    <col min="14608" max="14608" width="9.28515625" customWidth="1"/>
    <col min="14609" max="14609" width="3.28515625" customWidth="1"/>
    <col min="14610" max="14611" width="13" customWidth="1"/>
    <col min="14612" max="14612" width="3.28515625" customWidth="1"/>
    <col min="14849" max="14849" width="3.5703125" customWidth="1"/>
    <col min="14850" max="14850" width="15.28515625" customWidth="1"/>
    <col min="14851" max="14852" width="10.140625" bestFit="1" customWidth="1"/>
    <col min="14853" max="14853" width="9.5703125" customWidth="1"/>
    <col min="14854" max="14854" width="11.28515625" customWidth="1"/>
    <col min="14855" max="14855" width="9.42578125" customWidth="1"/>
    <col min="14856" max="14856" width="8.5703125" customWidth="1"/>
    <col min="14857" max="14858" width="10.85546875" customWidth="1"/>
    <col min="14859" max="14859" width="9.42578125" bestFit="1" customWidth="1"/>
    <col min="14860" max="14860" width="10.28515625" customWidth="1"/>
    <col min="14861" max="14861" width="10.140625" customWidth="1"/>
    <col min="14862" max="14862" width="8.5703125" customWidth="1"/>
    <col min="14863" max="14863" width="23.7109375" customWidth="1"/>
    <col min="14864" max="14864" width="9.28515625" customWidth="1"/>
    <col min="14865" max="14865" width="3.28515625" customWidth="1"/>
    <col min="14866" max="14867" width="13" customWidth="1"/>
    <col min="14868" max="14868" width="3.28515625" customWidth="1"/>
    <col min="15105" max="15105" width="3.5703125" customWidth="1"/>
    <col min="15106" max="15106" width="15.28515625" customWidth="1"/>
    <col min="15107" max="15108" width="10.140625" bestFit="1" customWidth="1"/>
    <col min="15109" max="15109" width="9.5703125" customWidth="1"/>
    <col min="15110" max="15110" width="11.28515625" customWidth="1"/>
    <col min="15111" max="15111" width="9.42578125" customWidth="1"/>
    <col min="15112" max="15112" width="8.5703125" customWidth="1"/>
    <col min="15113" max="15114" width="10.85546875" customWidth="1"/>
    <col min="15115" max="15115" width="9.42578125" bestFit="1" customWidth="1"/>
    <col min="15116" max="15116" width="10.28515625" customWidth="1"/>
    <col min="15117" max="15117" width="10.140625" customWidth="1"/>
    <col min="15118" max="15118" width="8.5703125" customWidth="1"/>
    <col min="15119" max="15119" width="23.7109375" customWidth="1"/>
    <col min="15120" max="15120" width="9.28515625" customWidth="1"/>
    <col min="15121" max="15121" width="3.28515625" customWidth="1"/>
    <col min="15122" max="15123" width="13" customWidth="1"/>
    <col min="15124" max="15124" width="3.28515625" customWidth="1"/>
    <col min="15361" max="15361" width="3.5703125" customWidth="1"/>
    <col min="15362" max="15362" width="15.28515625" customWidth="1"/>
    <col min="15363" max="15364" width="10.140625" bestFit="1" customWidth="1"/>
    <col min="15365" max="15365" width="9.5703125" customWidth="1"/>
    <col min="15366" max="15366" width="11.28515625" customWidth="1"/>
    <col min="15367" max="15367" width="9.42578125" customWidth="1"/>
    <col min="15368" max="15368" width="8.5703125" customWidth="1"/>
    <col min="15369" max="15370" width="10.85546875" customWidth="1"/>
    <col min="15371" max="15371" width="9.42578125" bestFit="1" customWidth="1"/>
    <col min="15372" max="15372" width="10.28515625" customWidth="1"/>
    <col min="15373" max="15373" width="10.140625" customWidth="1"/>
    <col min="15374" max="15374" width="8.5703125" customWidth="1"/>
    <col min="15375" max="15375" width="23.7109375" customWidth="1"/>
    <col min="15376" max="15376" width="9.28515625" customWidth="1"/>
    <col min="15377" max="15377" width="3.28515625" customWidth="1"/>
    <col min="15378" max="15379" width="13" customWidth="1"/>
    <col min="15380" max="15380" width="3.28515625" customWidth="1"/>
    <col min="15617" max="15617" width="3.5703125" customWidth="1"/>
    <col min="15618" max="15618" width="15.28515625" customWidth="1"/>
    <col min="15619" max="15620" width="10.140625" bestFit="1" customWidth="1"/>
    <col min="15621" max="15621" width="9.5703125" customWidth="1"/>
    <col min="15622" max="15622" width="11.28515625" customWidth="1"/>
    <col min="15623" max="15623" width="9.42578125" customWidth="1"/>
    <col min="15624" max="15624" width="8.5703125" customWidth="1"/>
    <col min="15625" max="15626" width="10.85546875" customWidth="1"/>
    <col min="15627" max="15627" width="9.42578125" bestFit="1" customWidth="1"/>
    <col min="15628" max="15628" width="10.28515625" customWidth="1"/>
    <col min="15629" max="15629" width="10.140625" customWidth="1"/>
    <col min="15630" max="15630" width="8.5703125" customWidth="1"/>
    <col min="15631" max="15631" width="23.7109375" customWidth="1"/>
    <col min="15632" max="15632" width="9.28515625" customWidth="1"/>
    <col min="15633" max="15633" width="3.28515625" customWidth="1"/>
    <col min="15634" max="15635" width="13" customWidth="1"/>
    <col min="15636" max="15636" width="3.28515625" customWidth="1"/>
    <col min="15873" max="15873" width="3.5703125" customWidth="1"/>
    <col min="15874" max="15874" width="15.28515625" customWidth="1"/>
    <col min="15875" max="15876" width="10.140625" bestFit="1" customWidth="1"/>
    <col min="15877" max="15877" width="9.5703125" customWidth="1"/>
    <col min="15878" max="15878" width="11.28515625" customWidth="1"/>
    <col min="15879" max="15879" width="9.42578125" customWidth="1"/>
    <col min="15880" max="15880" width="8.5703125" customWidth="1"/>
    <col min="15881" max="15882" width="10.85546875" customWidth="1"/>
    <col min="15883" max="15883" width="9.42578125" bestFit="1" customWidth="1"/>
    <col min="15884" max="15884" width="10.28515625" customWidth="1"/>
    <col min="15885" max="15885" width="10.140625" customWidth="1"/>
    <col min="15886" max="15886" width="8.5703125" customWidth="1"/>
    <col min="15887" max="15887" width="23.7109375" customWidth="1"/>
    <col min="15888" max="15888" width="9.28515625" customWidth="1"/>
    <col min="15889" max="15889" width="3.28515625" customWidth="1"/>
    <col min="15890" max="15891" width="13" customWidth="1"/>
    <col min="15892" max="15892" width="3.28515625" customWidth="1"/>
    <col min="16129" max="16129" width="3.5703125" customWidth="1"/>
    <col min="16130" max="16130" width="15.28515625" customWidth="1"/>
    <col min="16131" max="16132" width="10.140625" bestFit="1" customWidth="1"/>
    <col min="16133" max="16133" width="9.5703125" customWidth="1"/>
    <col min="16134" max="16134" width="11.28515625" customWidth="1"/>
    <col min="16135" max="16135" width="9.42578125" customWidth="1"/>
    <col min="16136" max="16136" width="8.5703125" customWidth="1"/>
    <col min="16137" max="16138" width="10.85546875" customWidth="1"/>
    <col min="16139" max="16139" width="9.42578125" bestFit="1" customWidth="1"/>
    <col min="16140" max="16140" width="10.28515625" customWidth="1"/>
    <col min="16141" max="16141" width="10.140625" customWidth="1"/>
    <col min="16142" max="16142" width="8.5703125" customWidth="1"/>
    <col min="16143" max="16143" width="23.7109375" customWidth="1"/>
    <col min="16144" max="16144" width="9.28515625" customWidth="1"/>
    <col min="16145" max="16145" width="3.28515625" customWidth="1"/>
    <col min="16146" max="16147" width="13" customWidth="1"/>
    <col min="16148" max="16148" width="3.28515625" customWidth="1"/>
  </cols>
  <sheetData>
    <row r="2" spans="2:20" ht="15.75" x14ac:dyDescent="0.25">
      <c r="C2" s="126" t="s">
        <v>43</v>
      </c>
      <c r="Q2" s="700" t="s">
        <v>44</v>
      </c>
      <c r="R2" s="700"/>
      <c r="S2" s="700"/>
      <c r="T2" s="700"/>
    </row>
    <row r="4" spans="2:20" x14ac:dyDescent="0.25">
      <c r="C4" t="s">
        <v>45</v>
      </c>
    </row>
    <row r="5" spans="2:20" x14ac:dyDescent="0.25">
      <c r="C5" t="s">
        <v>46</v>
      </c>
    </row>
    <row r="6" spans="2:20" x14ac:dyDescent="0.25">
      <c r="C6" t="s">
        <v>47</v>
      </c>
    </row>
    <row r="7" spans="2:20" x14ac:dyDescent="0.25">
      <c r="C7" t="s">
        <v>48</v>
      </c>
    </row>
    <row r="8" spans="2:20" ht="15.75" thickBot="1" x14ac:dyDescent="0.3"/>
    <row r="9" spans="2:20" ht="15.75" thickBot="1" x14ac:dyDescent="0.3">
      <c r="C9" s="701" t="s">
        <v>49</v>
      </c>
      <c r="D9" s="702"/>
      <c r="E9" s="702"/>
      <c r="F9" s="702"/>
      <c r="G9" s="702"/>
      <c r="H9" s="703"/>
      <c r="I9" s="704" t="s">
        <v>50</v>
      </c>
      <c r="J9" s="705"/>
      <c r="K9" s="705"/>
      <c r="L9" s="705"/>
      <c r="M9" s="705"/>
      <c r="N9" s="706"/>
      <c r="R9" s="65" t="s">
        <v>49</v>
      </c>
      <c r="S9" s="127" t="s">
        <v>50</v>
      </c>
    </row>
    <row r="10" spans="2:20" s="10" customFormat="1" ht="38.25" x14ac:dyDescent="0.2">
      <c r="B10" s="128"/>
      <c r="C10" s="128" t="s">
        <v>51</v>
      </c>
      <c r="D10" s="129" t="s">
        <v>52</v>
      </c>
      <c r="E10" s="129" t="s">
        <v>53</v>
      </c>
      <c r="F10" s="129" t="s">
        <v>54</v>
      </c>
      <c r="G10" s="129" t="s">
        <v>55</v>
      </c>
      <c r="H10" s="130" t="s">
        <v>56</v>
      </c>
      <c r="I10" s="131" t="s">
        <v>51</v>
      </c>
      <c r="J10" s="132" t="s">
        <v>52</v>
      </c>
      <c r="K10" s="132" t="s">
        <v>53</v>
      </c>
      <c r="L10" s="132" t="s">
        <v>54</v>
      </c>
      <c r="M10" s="132" t="s">
        <v>55</v>
      </c>
      <c r="N10" s="133" t="s">
        <v>56</v>
      </c>
      <c r="O10" s="134" t="s">
        <v>57</v>
      </c>
      <c r="R10" s="707" t="s">
        <v>58</v>
      </c>
      <c r="S10" s="707" t="s">
        <v>59</v>
      </c>
    </row>
    <row r="11" spans="2:20" s="139" customFormat="1" ht="15.75" thickBot="1" x14ac:dyDescent="0.3">
      <c r="B11" s="135"/>
      <c r="C11" s="135" t="s">
        <v>60</v>
      </c>
      <c r="D11" s="136" t="s">
        <v>60</v>
      </c>
      <c r="E11" s="136" t="s">
        <v>60</v>
      </c>
      <c r="F11" s="136" t="s">
        <v>60</v>
      </c>
      <c r="G11" s="136" t="s">
        <v>60</v>
      </c>
      <c r="H11" s="137"/>
      <c r="I11" s="135" t="s">
        <v>60</v>
      </c>
      <c r="J11" s="136" t="s">
        <v>60</v>
      </c>
      <c r="K11" s="136" t="s">
        <v>60</v>
      </c>
      <c r="L11" s="136" t="s">
        <v>60</v>
      </c>
      <c r="M11" s="136" t="s">
        <v>60</v>
      </c>
      <c r="N11" s="137"/>
      <c r="O11" s="138"/>
      <c r="R11" s="708"/>
      <c r="S11" s="708"/>
    </row>
    <row r="12" spans="2:20" s="139" customFormat="1" ht="15.75" thickBot="1" x14ac:dyDescent="0.3">
      <c r="B12" s="140" t="s">
        <v>61</v>
      </c>
      <c r="C12" s="141">
        <v>0.4</v>
      </c>
      <c r="D12" s="142">
        <v>0.8</v>
      </c>
      <c r="E12" s="142">
        <v>1</v>
      </c>
      <c r="F12" s="142">
        <v>0.5</v>
      </c>
      <c r="G12" s="142">
        <v>0.6</v>
      </c>
      <c r="H12" s="143"/>
      <c r="I12" s="141">
        <v>0.4</v>
      </c>
      <c r="J12" s="142">
        <v>0.8</v>
      </c>
      <c r="K12" s="142">
        <v>1</v>
      </c>
      <c r="L12" s="142">
        <v>0.5</v>
      </c>
      <c r="M12" s="142">
        <v>0.6</v>
      </c>
      <c r="N12" s="143"/>
      <c r="O12" s="144"/>
      <c r="R12" s="708"/>
      <c r="S12" s="708"/>
    </row>
    <row r="13" spans="2:20" s="139" customFormat="1" ht="30.75" thickBot="1" x14ac:dyDescent="0.3">
      <c r="B13" s="140" t="s">
        <v>62</v>
      </c>
      <c r="C13" s="145">
        <f>C12</f>
        <v>0.4</v>
      </c>
      <c r="D13" s="146">
        <v>0.8</v>
      </c>
      <c r="E13" s="146">
        <v>1</v>
      </c>
      <c r="F13" s="146">
        <v>0.5</v>
      </c>
      <c r="G13" s="146">
        <v>0.6</v>
      </c>
      <c r="H13" s="147"/>
      <c r="I13" s="145">
        <v>0.4</v>
      </c>
      <c r="J13" s="146">
        <v>0.8</v>
      </c>
      <c r="K13" s="146">
        <v>1</v>
      </c>
      <c r="L13" s="146">
        <v>0.5</v>
      </c>
      <c r="M13" s="146">
        <v>0.6</v>
      </c>
      <c r="N13" s="147"/>
      <c r="O13" s="148"/>
      <c r="R13" s="708"/>
      <c r="S13" s="708"/>
    </row>
    <row r="14" spans="2:20" s="139" customFormat="1" ht="15.75" thickBot="1" x14ac:dyDescent="0.3">
      <c r="B14" s="149"/>
      <c r="C14" s="149"/>
      <c r="D14" s="150"/>
      <c r="E14" s="150"/>
      <c r="F14" s="150"/>
      <c r="G14" s="150"/>
      <c r="H14" s="151"/>
      <c r="I14" s="149"/>
      <c r="J14" s="150"/>
      <c r="K14" s="150"/>
      <c r="L14" s="150"/>
      <c r="M14" s="150"/>
      <c r="N14" s="151"/>
      <c r="O14" s="152"/>
      <c r="R14" s="708"/>
      <c r="S14" s="708"/>
    </row>
    <row r="15" spans="2:20" s="139" customFormat="1" ht="12.75" customHeight="1" thickBot="1" x14ac:dyDescent="0.3">
      <c r="B15" s="153"/>
      <c r="C15" s="710" t="s">
        <v>63</v>
      </c>
      <c r="D15" s="711"/>
      <c r="E15" s="711"/>
      <c r="F15" s="711"/>
      <c r="G15" s="711"/>
      <c r="H15" s="712"/>
      <c r="I15" s="710" t="s">
        <v>63</v>
      </c>
      <c r="J15" s="711"/>
      <c r="K15" s="711"/>
      <c r="L15" s="711"/>
      <c r="M15" s="711"/>
      <c r="N15" s="712"/>
      <c r="O15" s="154"/>
      <c r="R15" s="708"/>
      <c r="S15" s="708"/>
    </row>
    <row r="16" spans="2:20" s="139" customFormat="1" ht="30.75" thickBot="1" x14ac:dyDescent="0.3">
      <c r="B16" s="140" t="s">
        <v>64</v>
      </c>
      <c r="C16" s="155">
        <v>0</v>
      </c>
      <c r="D16" s="156">
        <v>0</v>
      </c>
      <c r="E16" s="156">
        <v>1</v>
      </c>
      <c r="F16" s="156">
        <v>0</v>
      </c>
      <c r="G16" s="156">
        <v>0</v>
      </c>
      <c r="H16" s="698" t="s">
        <v>65</v>
      </c>
      <c r="I16" s="155">
        <v>0</v>
      </c>
      <c r="J16" s="156">
        <v>0</v>
      </c>
      <c r="K16" s="156">
        <v>1</v>
      </c>
      <c r="L16" s="156">
        <v>0</v>
      </c>
      <c r="M16" s="156">
        <v>0</v>
      </c>
      <c r="N16" s="698" t="s">
        <v>65</v>
      </c>
      <c r="O16" s="157"/>
      <c r="R16" s="709"/>
      <c r="S16" s="709"/>
    </row>
    <row r="17" spans="2:19" s="139" customFormat="1" ht="15.75" thickBot="1" x14ac:dyDescent="0.3">
      <c r="B17" s="158" t="s">
        <v>66</v>
      </c>
      <c r="C17" s="158" t="s">
        <v>67</v>
      </c>
      <c r="D17" s="159" t="s">
        <v>67</v>
      </c>
      <c r="E17" s="159" t="s">
        <v>67</v>
      </c>
      <c r="F17" s="159" t="s">
        <v>67</v>
      </c>
      <c r="G17" s="159" t="s">
        <v>67</v>
      </c>
      <c r="H17" s="699"/>
      <c r="I17" s="158" t="s">
        <v>67</v>
      </c>
      <c r="J17" s="159" t="s">
        <v>67</v>
      </c>
      <c r="K17" s="159" t="s">
        <v>67</v>
      </c>
      <c r="L17" s="159" t="s">
        <v>67</v>
      </c>
      <c r="M17" s="159" t="s">
        <v>67</v>
      </c>
      <c r="N17" s="699"/>
      <c r="O17" s="138"/>
      <c r="R17" s="140" t="s">
        <v>68</v>
      </c>
      <c r="S17" s="160" t="s">
        <v>68</v>
      </c>
    </row>
    <row r="18" spans="2:19" x14ac:dyDescent="0.25">
      <c r="B18" s="161">
        <f>year</f>
        <v>1950</v>
      </c>
      <c r="C18" s="162">
        <f>C$16</f>
        <v>0</v>
      </c>
      <c r="D18" s="163">
        <f t="shared" ref="D18:F33" si="0">D$16</f>
        <v>0</v>
      </c>
      <c r="E18" s="163">
        <v>0</v>
      </c>
      <c r="F18" s="163">
        <f t="shared" si="0"/>
        <v>0</v>
      </c>
      <c r="G18" s="163">
        <v>1</v>
      </c>
      <c r="H18" s="164">
        <f>SUM(C18:G18)</f>
        <v>1</v>
      </c>
      <c r="I18" s="162">
        <f>I$16</f>
        <v>0</v>
      </c>
      <c r="J18" s="163">
        <f t="shared" ref="J18:M33" si="1">J$16</f>
        <v>0</v>
      </c>
      <c r="K18" s="163">
        <f t="shared" si="1"/>
        <v>1</v>
      </c>
      <c r="L18" s="163">
        <f t="shared" si="1"/>
        <v>0</v>
      </c>
      <c r="M18" s="163">
        <f t="shared" si="1"/>
        <v>0</v>
      </c>
      <c r="N18" s="164">
        <f>SUM(I18:M18)</f>
        <v>1</v>
      </c>
      <c r="O18" s="75"/>
      <c r="R18" s="165">
        <f>C18*C$13+D18*D$13+E18*E$13+F18*F$13+G18*G$13</f>
        <v>0.6</v>
      </c>
      <c r="S18" s="166">
        <f>I18*I$13+J18*J$13+K18*K$13+L18*L$13+M18*M$13</f>
        <v>1</v>
      </c>
    </row>
    <row r="19" spans="2:19" x14ac:dyDescent="0.25">
      <c r="B19" s="167">
        <f t="shared" ref="B19:B82" si="2">B18+1</f>
        <v>1951</v>
      </c>
      <c r="C19" s="168">
        <f t="shared" ref="C19:F50" si="3">C$16</f>
        <v>0</v>
      </c>
      <c r="D19" s="169">
        <f t="shared" si="0"/>
        <v>0</v>
      </c>
      <c r="E19" s="163">
        <v>0</v>
      </c>
      <c r="F19" s="169">
        <f t="shared" si="0"/>
        <v>0</v>
      </c>
      <c r="G19" s="163">
        <v>1</v>
      </c>
      <c r="H19" s="170">
        <f t="shared" ref="H19:H82" si="4">SUM(C19:G19)</f>
        <v>1</v>
      </c>
      <c r="I19" s="168">
        <f t="shared" ref="I19:J50" si="5">I$16</f>
        <v>0</v>
      </c>
      <c r="J19" s="169">
        <f t="shared" si="1"/>
        <v>0</v>
      </c>
      <c r="K19" s="169">
        <f t="shared" si="1"/>
        <v>1</v>
      </c>
      <c r="L19" s="169">
        <f t="shared" si="1"/>
        <v>0</v>
      </c>
      <c r="M19" s="169">
        <f t="shared" si="1"/>
        <v>0</v>
      </c>
      <c r="N19" s="170">
        <f t="shared" ref="N19:N82" si="6">SUM(I19:M19)</f>
        <v>1</v>
      </c>
      <c r="O19" s="42"/>
      <c r="R19" s="165">
        <f t="shared" ref="R19:R82" si="7">C19*C$13+D19*D$13+E19*E$13+F19*F$13+G19*G$13</f>
        <v>0.6</v>
      </c>
      <c r="S19" s="166">
        <f t="shared" ref="S19:S82" si="8">I19*I$13+J19*J$13+K19*K$13+L19*L$13+M19*M$13</f>
        <v>1</v>
      </c>
    </row>
    <row r="20" spans="2:19" x14ac:dyDescent="0.25">
      <c r="B20" s="167">
        <f t="shared" si="2"/>
        <v>1952</v>
      </c>
      <c r="C20" s="168">
        <f t="shared" si="3"/>
        <v>0</v>
      </c>
      <c r="D20" s="169">
        <f t="shared" si="0"/>
        <v>0</v>
      </c>
      <c r="E20" s="163">
        <v>0</v>
      </c>
      <c r="F20" s="169">
        <f t="shared" si="0"/>
        <v>0</v>
      </c>
      <c r="G20" s="163">
        <v>1</v>
      </c>
      <c r="H20" s="170">
        <f t="shared" si="4"/>
        <v>1</v>
      </c>
      <c r="I20" s="168">
        <f t="shared" si="5"/>
        <v>0</v>
      </c>
      <c r="J20" s="169">
        <f t="shared" si="1"/>
        <v>0</v>
      </c>
      <c r="K20" s="169">
        <f t="shared" si="1"/>
        <v>1</v>
      </c>
      <c r="L20" s="169">
        <f t="shared" si="1"/>
        <v>0</v>
      </c>
      <c r="M20" s="169">
        <f t="shared" si="1"/>
        <v>0</v>
      </c>
      <c r="N20" s="170">
        <f t="shared" si="6"/>
        <v>1</v>
      </c>
      <c r="O20" s="42"/>
      <c r="R20" s="165">
        <f t="shared" si="7"/>
        <v>0.6</v>
      </c>
      <c r="S20" s="166">
        <f t="shared" si="8"/>
        <v>1</v>
      </c>
    </row>
    <row r="21" spans="2:19" x14ac:dyDescent="0.25">
      <c r="B21" s="167">
        <f t="shared" si="2"/>
        <v>1953</v>
      </c>
      <c r="C21" s="168">
        <f t="shared" si="3"/>
        <v>0</v>
      </c>
      <c r="D21" s="169">
        <f t="shared" si="0"/>
        <v>0</v>
      </c>
      <c r="E21" s="163">
        <v>0</v>
      </c>
      <c r="F21" s="169">
        <f t="shared" si="0"/>
        <v>0</v>
      </c>
      <c r="G21" s="163">
        <v>1</v>
      </c>
      <c r="H21" s="170">
        <f t="shared" si="4"/>
        <v>1</v>
      </c>
      <c r="I21" s="168">
        <f t="shared" si="5"/>
        <v>0</v>
      </c>
      <c r="J21" s="169">
        <f t="shared" si="1"/>
        <v>0</v>
      </c>
      <c r="K21" s="169">
        <f t="shared" si="1"/>
        <v>1</v>
      </c>
      <c r="L21" s="169">
        <f t="shared" si="1"/>
        <v>0</v>
      </c>
      <c r="M21" s="169">
        <f t="shared" si="1"/>
        <v>0</v>
      </c>
      <c r="N21" s="170">
        <f t="shared" si="6"/>
        <v>1</v>
      </c>
      <c r="O21" s="42"/>
      <c r="R21" s="165">
        <f t="shared" si="7"/>
        <v>0.6</v>
      </c>
      <c r="S21" s="166">
        <f t="shared" si="8"/>
        <v>1</v>
      </c>
    </row>
    <row r="22" spans="2:19" x14ac:dyDescent="0.25">
      <c r="B22" s="167">
        <f t="shared" si="2"/>
        <v>1954</v>
      </c>
      <c r="C22" s="168">
        <f t="shared" si="3"/>
        <v>0</v>
      </c>
      <c r="D22" s="169">
        <f t="shared" si="0"/>
        <v>0</v>
      </c>
      <c r="E22" s="163">
        <v>0</v>
      </c>
      <c r="F22" s="169">
        <f t="shared" si="0"/>
        <v>0</v>
      </c>
      <c r="G22" s="163">
        <v>1</v>
      </c>
      <c r="H22" s="170">
        <f t="shared" si="4"/>
        <v>1</v>
      </c>
      <c r="I22" s="168">
        <f t="shared" si="5"/>
        <v>0</v>
      </c>
      <c r="J22" s="169">
        <f t="shared" si="1"/>
        <v>0</v>
      </c>
      <c r="K22" s="169">
        <f t="shared" si="1"/>
        <v>1</v>
      </c>
      <c r="L22" s="169">
        <f t="shared" si="1"/>
        <v>0</v>
      </c>
      <c r="M22" s="169">
        <f t="shared" si="1"/>
        <v>0</v>
      </c>
      <c r="N22" s="170">
        <f t="shared" si="6"/>
        <v>1</v>
      </c>
      <c r="O22" s="42"/>
      <c r="R22" s="165">
        <f t="shared" si="7"/>
        <v>0.6</v>
      </c>
      <c r="S22" s="166">
        <f t="shared" si="8"/>
        <v>1</v>
      </c>
    </row>
    <row r="23" spans="2:19" x14ac:dyDescent="0.25">
      <c r="B23" s="167">
        <f t="shared" si="2"/>
        <v>1955</v>
      </c>
      <c r="C23" s="168">
        <f t="shared" si="3"/>
        <v>0</v>
      </c>
      <c r="D23" s="169">
        <f t="shared" si="0"/>
        <v>0</v>
      </c>
      <c r="E23" s="163">
        <v>0</v>
      </c>
      <c r="F23" s="169">
        <f t="shared" si="0"/>
        <v>0</v>
      </c>
      <c r="G23" s="163">
        <v>1</v>
      </c>
      <c r="H23" s="170">
        <f t="shared" si="4"/>
        <v>1</v>
      </c>
      <c r="I23" s="168">
        <f t="shared" si="5"/>
        <v>0</v>
      </c>
      <c r="J23" s="169">
        <f t="shared" si="1"/>
        <v>0</v>
      </c>
      <c r="K23" s="169">
        <f t="shared" si="1"/>
        <v>1</v>
      </c>
      <c r="L23" s="169">
        <f t="shared" si="1"/>
        <v>0</v>
      </c>
      <c r="M23" s="169">
        <f t="shared" si="1"/>
        <v>0</v>
      </c>
      <c r="N23" s="170">
        <f t="shared" si="6"/>
        <v>1</v>
      </c>
      <c r="O23" s="42"/>
      <c r="R23" s="165">
        <f t="shared" si="7"/>
        <v>0.6</v>
      </c>
      <c r="S23" s="166">
        <f t="shared" si="8"/>
        <v>1</v>
      </c>
    </row>
    <row r="24" spans="2:19" x14ac:dyDescent="0.25">
      <c r="B24" s="167">
        <f t="shared" si="2"/>
        <v>1956</v>
      </c>
      <c r="C24" s="168">
        <f t="shared" si="3"/>
        <v>0</v>
      </c>
      <c r="D24" s="169">
        <f t="shared" si="0"/>
        <v>0</v>
      </c>
      <c r="E24" s="163">
        <v>0</v>
      </c>
      <c r="F24" s="169">
        <f t="shared" si="0"/>
        <v>0</v>
      </c>
      <c r="G24" s="163">
        <v>1</v>
      </c>
      <c r="H24" s="170">
        <f t="shared" si="4"/>
        <v>1</v>
      </c>
      <c r="I24" s="168">
        <f t="shared" si="5"/>
        <v>0</v>
      </c>
      <c r="J24" s="169">
        <f t="shared" si="1"/>
        <v>0</v>
      </c>
      <c r="K24" s="169">
        <f t="shared" si="1"/>
        <v>1</v>
      </c>
      <c r="L24" s="169">
        <f t="shared" si="1"/>
        <v>0</v>
      </c>
      <c r="M24" s="169">
        <f t="shared" si="1"/>
        <v>0</v>
      </c>
      <c r="N24" s="170">
        <f t="shared" si="6"/>
        <v>1</v>
      </c>
      <c r="O24" s="42"/>
      <c r="R24" s="165">
        <f t="shared" si="7"/>
        <v>0.6</v>
      </c>
      <c r="S24" s="166">
        <f t="shared" si="8"/>
        <v>1</v>
      </c>
    </row>
    <row r="25" spans="2:19" x14ac:dyDescent="0.25">
      <c r="B25" s="167">
        <f t="shared" si="2"/>
        <v>1957</v>
      </c>
      <c r="C25" s="168">
        <f t="shared" si="3"/>
        <v>0</v>
      </c>
      <c r="D25" s="169">
        <f t="shared" si="0"/>
        <v>0</v>
      </c>
      <c r="E25" s="163">
        <v>0</v>
      </c>
      <c r="F25" s="169">
        <f t="shared" si="0"/>
        <v>0</v>
      </c>
      <c r="G25" s="163">
        <v>1</v>
      </c>
      <c r="H25" s="170">
        <f t="shared" si="4"/>
        <v>1</v>
      </c>
      <c r="I25" s="168">
        <f t="shared" si="5"/>
        <v>0</v>
      </c>
      <c r="J25" s="169">
        <f t="shared" si="1"/>
        <v>0</v>
      </c>
      <c r="K25" s="169">
        <f t="shared" si="1"/>
        <v>1</v>
      </c>
      <c r="L25" s="169">
        <f t="shared" si="1"/>
        <v>0</v>
      </c>
      <c r="M25" s="169">
        <f t="shared" si="1"/>
        <v>0</v>
      </c>
      <c r="N25" s="170">
        <f t="shared" si="6"/>
        <v>1</v>
      </c>
      <c r="O25" s="42"/>
      <c r="R25" s="165">
        <f t="shared" si="7"/>
        <v>0.6</v>
      </c>
      <c r="S25" s="166">
        <f t="shared" si="8"/>
        <v>1</v>
      </c>
    </row>
    <row r="26" spans="2:19" x14ac:dyDescent="0.25">
      <c r="B26" s="167">
        <f t="shared" si="2"/>
        <v>1958</v>
      </c>
      <c r="C26" s="168">
        <f t="shared" si="3"/>
        <v>0</v>
      </c>
      <c r="D26" s="169">
        <f t="shared" si="0"/>
        <v>0</v>
      </c>
      <c r="E26" s="163">
        <v>0</v>
      </c>
      <c r="F26" s="169">
        <f t="shared" si="0"/>
        <v>0</v>
      </c>
      <c r="G26" s="163">
        <v>1</v>
      </c>
      <c r="H26" s="170">
        <f t="shared" si="4"/>
        <v>1</v>
      </c>
      <c r="I26" s="168">
        <f t="shared" si="5"/>
        <v>0</v>
      </c>
      <c r="J26" s="169">
        <f t="shared" si="1"/>
        <v>0</v>
      </c>
      <c r="K26" s="169">
        <f t="shared" si="1"/>
        <v>1</v>
      </c>
      <c r="L26" s="169">
        <f t="shared" si="1"/>
        <v>0</v>
      </c>
      <c r="M26" s="169">
        <f t="shared" si="1"/>
        <v>0</v>
      </c>
      <c r="N26" s="170">
        <f t="shared" si="6"/>
        <v>1</v>
      </c>
      <c r="O26" s="42"/>
      <c r="R26" s="165">
        <f t="shared" si="7"/>
        <v>0.6</v>
      </c>
      <c r="S26" s="166">
        <f t="shared" si="8"/>
        <v>1</v>
      </c>
    </row>
    <row r="27" spans="2:19" x14ac:dyDescent="0.25">
      <c r="B27" s="167">
        <f t="shared" si="2"/>
        <v>1959</v>
      </c>
      <c r="C27" s="168">
        <f t="shared" si="3"/>
        <v>0</v>
      </c>
      <c r="D27" s="169">
        <f t="shared" si="0"/>
        <v>0</v>
      </c>
      <c r="E27" s="163">
        <v>0</v>
      </c>
      <c r="F27" s="169">
        <f t="shared" si="0"/>
        <v>0</v>
      </c>
      <c r="G27" s="163">
        <v>1</v>
      </c>
      <c r="H27" s="170">
        <f t="shared" si="4"/>
        <v>1</v>
      </c>
      <c r="I27" s="168">
        <f t="shared" si="5"/>
        <v>0</v>
      </c>
      <c r="J27" s="169">
        <f t="shared" si="1"/>
        <v>0</v>
      </c>
      <c r="K27" s="169">
        <f t="shared" si="1"/>
        <v>1</v>
      </c>
      <c r="L27" s="169">
        <f t="shared" si="1"/>
        <v>0</v>
      </c>
      <c r="M27" s="169">
        <f t="shared" si="1"/>
        <v>0</v>
      </c>
      <c r="N27" s="170">
        <f t="shared" si="6"/>
        <v>1</v>
      </c>
      <c r="O27" s="42"/>
      <c r="R27" s="165">
        <f t="shared" si="7"/>
        <v>0.6</v>
      </c>
      <c r="S27" s="166">
        <f t="shared" si="8"/>
        <v>1</v>
      </c>
    </row>
    <row r="28" spans="2:19" x14ac:dyDescent="0.25">
      <c r="B28" s="167">
        <f t="shared" si="2"/>
        <v>1960</v>
      </c>
      <c r="C28" s="168">
        <f t="shared" si="3"/>
        <v>0</v>
      </c>
      <c r="D28" s="169">
        <f t="shared" si="0"/>
        <v>0</v>
      </c>
      <c r="E28" s="163">
        <v>0</v>
      </c>
      <c r="F28" s="169">
        <f t="shared" si="0"/>
        <v>0</v>
      </c>
      <c r="G28" s="163">
        <v>1</v>
      </c>
      <c r="H28" s="170">
        <f t="shared" si="4"/>
        <v>1</v>
      </c>
      <c r="I28" s="168">
        <f t="shared" si="5"/>
        <v>0</v>
      </c>
      <c r="J28" s="169">
        <f t="shared" si="1"/>
        <v>0</v>
      </c>
      <c r="K28" s="169">
        <f t="shared" si="1"/>
        <v>1</v>
      </c>
      <c r="L28" s="169">
        <f t="shared" si="1"/>
        <v>0</v>
      </c>
      <c r="M28" s="169">
        <f t="shared" si="1"/>
        <v>0</v>
      </c>
      <c r="N28" s="170">
        <f t="shared" si="6"/>
        <v>1</v>
      </c>
      <c r="O28" s="42"/>
      <c r="R28" s="165">
        <f t="shared" si="7"/>
        <v>0.6</v>
      </c>
      <c r="S28" s="166">
        <f t="shared" si="8"/>
        <v>1</v>
      </c>
    </row>
    <row r="29" spans="2:19" x14ac:dyDescent="0.25">
      <c r="B29" s="167">
        <f t="shared" si="2"/>
        <v>1961</v>
      </c>
      <c r="C29" s="168">
        <f t="shared" si="3"/>
        <v>0</v>
      </c>
      <c r="D29" s="169">
        <f t="shared" si="0"/>
        <v>0</v>
      </c>
      <c r="E29" s="163">
        <v>0</v>
      </c>
      <c r="F29" s="169">
        <f t="shared" si="0"/>
        <v>0</v>
      </c>
      <c r="G29" s="163">
        <v>1</v>
      </c>
      <c r="H29" s="170">
        <f t="shared" si="4"/>
        <v>1</v>
      </c>
      <c r="I29" s="168">
        <f t="shared" si="5"/>
        <v>0</v>
      </c>
      <c r="J29" s="169">
        <f t="shared" si="1"/>
        <v>0</v>
      </c>
      <c r="K29" s="169">
        <f t="shared" si="1"/>
        <v>1</v>
      </c>
      <c r="L29" s="169">
        <f t="shared" si="1"/>
        <v>0</v>
      </c>
      <c r="M29" s="169">
        <f t="shared" si="1"/>
        <v>0</v>
      </c>
      <c r="N29" s="170">
        <f t="shared" si="6"/>
        <v>1</v>
      </c>
      <c r="O29" s="42"/>
      <c r="R29" s="165">
        <f t="shared" si="7"/>
        <v>0.6</v>
      </c>
      <c r="S29" s="166">
        <f t="shared" si="8"/>
        <v>1</v>
      </c>
    </row>
    <row r="30" spans="2:19" x14ac:dyDescent="0.25">
      <c r="B30" s="167">
        <f t="shared" si="2"/>
        <v>1962</v>
      </c>
      <c r="C30" s="168">
        <f t="shared" si="3"/>
        <v>0</v>
      </c>
      <c r="D30" s="169">
        <f t="shared" si="0"/>
        <v>0</v>
      </c>
      <c r="E30" s="163">
        <v>0</v>
      </c>
      <c r="F30" s="169">
        <f t="shared" si="0"/>
        <v>0</v>
      </c>
      <c r="G30" s="163">
        <v>1</v>
      </c>
      <c r="H30" s="170">
        <f t="shared" si="4"/>
        <v>1</v>
      </c>
      <c r="I30" s="168">
        <f t="shared" si="5"/>
        <v>0</v>
      </c>
      <c r="J30" s="169">
        <f t="shared" si="1"/>
        <v>0</v>
      </c>
      <c r="K30" s="169">
        <f t="shared" si="1"/>
        <v>1</v>
      </c>
      <c r="L30" s="169">
        <f t="shared" si="1"/>
        <v>0</v>
      </c>
      <c r="M30" s="169">
        <f t="shared" si="1"/>
        <v>0</v>
      </c>
      <c r="N30" s="170">
        <f t="shared" si="6"/>
        <v>1</v>
      </c>
      <c r="O30" s="42"/>
      <c r="R30" s="165">
        <f t="shared" si="7"/>
        <v>0.6</v>
      </c>
      <c r="S30" s="166">
        <f t="shared" si="8"/>
        <v>1</v>
      </c>
    </row>
    <row r="31" spans="2:19" x14ac:dyDescent="0.25">
      <c r="B31" s="167">
        <f t="shared" si="2"/>
        <v>1963</v>
      </c>
      <c r="C31" s="168">
        <f t="shared" si="3"/>
        <v>0</v>
      </c>
      <c r="D31" s="169">
        <f t="shared" si="0"/>
        <v>0</v>
      </c>
      <c r="E31" s="163">
        <v>0</v>
      </c>
      <c r="F31" s="169">
        <f t="shared" si="0"/>
        <v>0</v>
      </c>
      <c r="G31" s="163">
        <v>1</v>
      </c>
      <c r="H31" s="170">
        <f t="shared" si="4"/>
        <v>1</v>
      </c>
      <c r="I31" s="168">
        <f t="shared" si="5"/>
        <v>0</v>
      </c>
      <c r="J31" s="169">
        <f t="shared" si="1"/>
        <v>0</v>
      </c>
      <c r="K31" s="169">
        <f t="shared" si="1"/>
        <v>1</v>
      </c>
      <c r="L31" s="169">
        <f t="shared" si="1"/>
        <v>0</v>
      </c>
      <c r="M31" s="169">
        <f t="shared" si="1"/>
        <v>0</v>
      </c>
      <c r="N31" s="170">
        <f t="shared" si="6"/>
        <v>1</v>
      </c>
      <c r="O31" s="42"/>
      <c r="R31" s="165">
        <f t="shared" si="7"/>
        <v>0.6</v>
      </c>
      <c r="S31" s="166">
        <f t="shared" si="8"/>
        <v>1</v>
      </c>
    </row>
    <row r="32" spans="2:19" x14ac:dyDescent="0.25">
      <c r="B32" s="167">
        <f t="shared" si="2"/>
        <v>1964</v>
      </c>
      <c r="C32" s="168">
        <f t="shared" si="3"/>
        <v>0</v>
      </c>
      <c r="D32" s="169">
        <f t="shared" si="0"/>
        <v>0</v>
      </c>
      <c r="E32" s="163">
        <v>0</v>
      </c>
      <c r="F32" s="169">
        <f t="shared" si="0"/>
        <v>0</v>
      </c>
      <c r="G32" s="163">
        <v>1</v>
      </c>
      <c r="H32" s="170">
        <f t="shared" si="4"/>
        <v>1</v>
      </c>
      <c r="I32" s="168">
        <f t="shared" si="5"/>
        <v>0</v>
      </c>
      <c r="J32" s="169">
        <f t="shared" si="1"/>
        <v>0</v>
      </c>
      <c r="K32" s="169">
        <f t="shared" si="1"/>
        <v>1</v>
      </c>
      <c r="L32" s="169">
        <f t="shared" si="1"/>
        <v>0</v>
      </c>
      <c r="M32" s="169">
        <f t="shared" si="1"/>
        <v>0</v>
      </c>
      <c r="N32" s="170">
        <f t="shared" si="6"/>
        <v>1</v>
      </c>
      <c r="O32" s="42"/>
      <c r="R32" s="165">
        <f t="shared" si="7"/>
        <v>0.6</v>
      </c>
      <c r="S32" s="166">
        <f t="shared" si="8"/>
        <v>1</v>
      </c>
    </row>
    <row r="33" spans="2:19" x14ac:dyDescent="0.25">
      <c r="B33" s="167">
        <f t="shared" si="2"/>
        <v>1965</v>
      </c>
      <c r="C33" s="168">
        <f t="shared" si="3"/>
        <v>0</v>
      </c>
      <c r="D33" s="169">
        <f t="shared" si="0"/>
        <v>0</v>
      </c>
      <c r="E33" s="163">
        <v>0</v>
      </c>
      <c r="F33" s="169">
        <f t="shared" si="0"/>
        <v>0</v>
      </c>
      <c r="G33" s="163">
        <v>1</v>
      </c>
      <c r="H33" s="170">
        <f t="shared" si="4"/>
        <v>1</v>
      </c>
      <c r="I33" s="168">
        <f t="shared" si="5"/>
        <v>0</v>
      </c>
      <c r="J33" s="169">
        <f t="shared" si="1"/>
        <v>0</v>
      </c>
      <c r="K33" s="169">
        <v>0</v>
      </c>
      <c r="L33" s="169">
        <v>0</v>
      </c>
      <c r="M33" s="169">
        <v>1</v>
      </c>
      <c r="N33" s="170">
        <f t="shared" si="6"/>
        <v>1</v>
      </c>
      <c r="O33" s="42"/>
      <c r="R33" s="165">
        <f t="shared" si="7"/>
        <v>0.6</v>
      </c>
      <c r="S33" s="166">
        <f t="shared" si="8"/>
        <v>0.6</v>
      </c>
    </row>
    <row r="34" spans="2:19" x14ac:dyDescent="0.25">
      <c r="B34" s="167">
        <f t="shared" si="2"/>
        <v>1966</v>
      </c>
      <c r="C34" s="168">
        <f t="shared" si="3"/>
        <v>0</v>
      </c>
      <c r="D34" s="169">
        <f t="shared" si="3"/>
        <v>0</v>
      </c>
      <c r="E34" s="163">
        <v>0</v>
      </c>
      <c r="F34" s="169">
        <f t="shared" si="3"/>
        <v>0</v>
      </c>
      <c r="G34" s="163">
        <v>1</v>
      </c>
      <c r="H34" s="170">
        <f t="shared" si="4"/>
        <v>1</v>
      </c>
      <c r="I34" s="168">
        <f t="shared" si="5"/>
        <v>0</v>
      </c>
      <c r="J34" s="169">
        <f t="shared" si="5"/>
        <v>0</v>
      </c>
      <c r="K34" s="169">
        <v>0</v>
      </c>
      <c r="L34" s="169">
        <v>0</v>
      </c>
      <c r="M34" s="169">
        <v>1</v>
      </c>
      <c r="N34" s="170">
        <f t="shared" si="6"/>
        <v>1</v>
      </c>
      <c r="O34" s="42"/>
      <c r="R34" s="165">
        <f t="shared" si="7"/>
        <v>0.6</v>
      </c>
      <c r="S34" s="166">
        <f t="shared" si="8"/>
        <v>0.6</v>
      </c>
    </row>
    <row r="35" spans="2:19" x14ac:dyDescent="0.25">
      <c r="B35" s="167">
        <f t="shared" si="2"/>
        <v>1967</v>
      </c>
      <c r="C35" s="168">
        <f t="shared" si="3"/>
        <v>0</v>
      </c>
      <c r="D35" s="169">
        <f t="shared" si="3"/>
        <v>0</v>
      </c>
      <c r="E35" s="163">
        <v>0</v>
      </c>
      <c r="F35" s="169">
        <f t="shared" si="3"/>
        <v>0</v>
      </c>
      <c r="G35" s="163">
        <v>1</v>
      </c>
      <c r="H35" s="170">
        <f t="shared" si="4"/>
        <v>1</v>
      </c>
      <c r="I35" s="168">
        <f t="shared" si="5"/>
        <v>0</v>
      </c>
      <c r="J35" s="169">
        <f t="shared" si="5"/>
        <v>0</v>
      </c>
      <c r="K35" s="169">
        <v>0</v>
      </c>
      <c r="L35" s="169">
        <v>0</v>
      </c>
      <c r="M35" s="169">
        <v>1</v>
      </c>
      <c r="N35" s="170">
        <f t="shared" si="6"/>
        <v>1</v>
      </c>
      <c r="O35" s="42"/>
      <c r="R35" s="165">
        <f t="shared" si="7"/>
        <v>0.6</v>
      </c>
      <c r="S35" s="166">
        <f t="shared" si="8"/>
        <v>0.6</v>
      </c>
    </row>
    <row r="36" spans="2:19" x14ac:dyDescent="0.25">
      <c r="B36" s="167">
        <f t="shared" si="2"/>
        <v>1968</v>
      </c>
      <c r="C36" s="168">
        <f t="shared" si="3"/>
        <v>0</v>
      </c>
      <c r="D36" s="169">
        <f t="shared" si="3"/>
        <v>0</v>
      </c>
      <c r="E36" s="163">
        <v>0</v>
      </c>
      <c r="F36" s="169">
        <f t="shared" si="3"/>
        <v>0</v>
      </c>
      <c r="G36" s="163">
        <v>1</v>
      </c>
      <c r="H36" s="170">
        <f t="shared" si="4"/>
        <v>1</v>
      </c>
      <c r="I36" s="168">
        <f t="shared" si="5"/>
        <v>0</v>
      </c>
      <c r="J36" s="169">
        <f t="shared" si="5"/>
        <v>0</v>
      </c>
      <c r="K36" s="169">
        <v>0</v>
      </c>
      <c r="L36" s="169">
        <v>0</v>
      </c>
      <c r="M36" s="169">
        <v>1</v>
      </c>
      <c r="N36" s="170">
        <f t="shared" si="6"/>
        <v>1</v>
      </c>
      <c r="O36" s="42"/>
      <c r="R36" s="165">
        <f t="shared" si="7"/>
        <v>0.6</v>
      </c>
      <c r="S36" s="166">
        <f t="shared" si="8"/>
        <v>0.6</v>
      </c>
    </row>
    <row r="37" spans="2:19" x14ac:dyDescent="0.25">
      <c r="B37" s="167">
        <f t="shared" si="2"/>
        <v>1969</v>
      </c>
      <c r="C37" s="168">
        <f t="shared" si="3"/>
        <v>0</v>
      </c>
      <c r="D37" s="169">
        <f t="shared" si="3"/>
        <v>0</v>
      </c>
      <c r="E37" s="163">
        <v>0</v>
      </c>
      <c r="F37" s="169">
        <f t="shared" si="3"/>
        <v>0</v>
      </c>
      <c r="G37" s="163">
        <v>1</v>
      </c>
      <c r="H37" s="170">
        <f t="shared" si="4"/>
        <v>1</v>
      </c>
      <c r="I37" s="168">
        <f t="shared" si="5"/>
        <v>0</v>
      </c>
      <c r="J37" s="169">
        <f t="shared" si="5"/>
        <v>0</v>
      </c>
      <c r="K37" s="169">
        <v>0</v>
      </c>
      <c r="L37" s="169">
        <v>0</v>
      </c>
      <c r="M37" s="169">
        <v>1</v>
      </c>
      <c r="N37" s="170">
        <f t="shared" si="6"/>
        <v>1</v>
      </c>
      <c r="O37" s="42"/>
      <c r="R37" s="165">
        <f t="shared" si="7"/>
        <v>0.6</v>
      </c>
      <c r="S37" s="166">
        <f t="shared" si="8"/>
        <v>0.6</v>
      </c>
    </row>
    <row r="38" spans="2:19" x14ac:dyDescent="0.25">
      <c r="B38" s="167">
        <f t="shared" si="2"/>
        <v>1970</v>
      </c>
      <c r="C38" s="168">
        <f t="shared" si="3"/>
        <v>0</v>
      </c>
      <c r="D38" s="169">
        <f t="shared" si="3"/>
        <v>0</v>
      </c>
      <c r="E38" s="169">
        <v>0.5</v>
      </c>
      <c r="F38" s="169">
        <f t="shared" si="3"/>
        <v>0</v>
      </c>
      <c r="G38" s="169">
        <v>0.5</v>
      </c>
      <c r="H38" s="170">
        <f t="shared" si="4"/>
        <v>1</v>
      </c>
      <c r="I38" s="168">
        <f t="shared" si="5"/>
        <v>0</v>
      </c>
      <c r="J38" s="169">
        <f t="shared" si="5"/>
        <v>0</v>
      </c>
      <c r="K38" s="169">
        <v>0.5</v>
      </c>
      <c r="L38" s="169">
        <v>0</v>
      </c>
      <c r="M38" s="169">
        <v>0.5</v>
      </c>
      <c r="N38" s="170">
        <f t="shared" si="6"/>
        <v>1</v>
      </c>
      <c r="O38" s="42"/>
      <c r="R38" s="165">
        <f t="shared" si="7"/>
        <v>0.8</v>
      </c>
      <c r="S38" s="166">
        <f t="shared" si="8"/>
        <v>0.8</v>
      </c>
    </row>
    <row r="39" spans="2:19" x14ac:dyDescent="0.25">
      <c r="B39" s="167">
        <f t="shared" si="2"/>
        <v>1971</v>
      </c>
      <c r="C39" s="168">
        <f t="shared" si="3"/>
        <v>0</v>
      </c>
      <c r="D39" s="169">
        <f t="shared" si="3"/>
        <v>0</v>
      </c>
      <c r="E39" s="169">
        <v>0.5</v>
      </c>
      <c r="F39" s="169">
        <f t="shared" si="3"/>
        <v>0</v>
      </c>
      <c r="G39" s="169">
        <v>0.5</v>
      </c>
      <c r="H39" s="170">
        <f t="shared" si="4"/>
        <v>1</v>
      </c>
      <c r="I39" s="168">
        <f t="shared" si="5"/>
        <v>0</v>
      </c>
      <c r="J39" s="169">
        <f t="shared" si="5"/>
        <v>0</v>
      </c>
      <c r="K39" s="169">
        <v>0.5</v>
      </c>
      <c r="L39" s="169">
        <v>0</v>
      </c>
      <c r="M39" s="169">
        <v>0.5</v>
      </c>
      <c r="N39" s="170">
        <f t="shared" si="6"/>
        <v>1</v>
      </c>
      <c r="O39" s="42"/>
      <c r="R39" s="165">
        <f t="shared" si="7"/>
        <v>0.8</v>
      </c>
      <c r="S39" s="166">
        <f t="shared" si="8"/>
        <v>0.8</v>
      </c>
    </row>
    <row r="40" spans="2:19" x14ac:dyDescent="0.25">
      <c r="B40" s="167">
        <f t="shared" si="2"/>
        <v>1972</v>
      </c>
      <c r="C40" s="168">
        <f t="shared" si="3"/>
        <v>0</v>
      </c>
      <c r="D40" s="169">
        <f t="shared" si="3"/>
        <v>0</v>
      </c>
      <c r="E40" s="169">
        <v>0.5</v>
      </c>
      <c r="F40" s="169">
        <f t="shared" si="3"/>
        <v>0</v>
      </c>
      <c r="G40" s="169">
        <v>0.5</v>
      </c>
      <c r="H40" s="170">
        <f t="shared" si="4"/>
        <v>1</v>
      </c>
      <c r="I40" s="168">
        <f t="shared" si="5"/>
        <v>0</v>
      </c>
      <c r="J40" s="169">
        <f t="shared" si="5"/>
        <v>0</v>
      </c>
      <c r="K40" s="169">
        <v>0.5</v>
      </c>
      <c r="L40" s="169">
        <v>0</v>
      </c>
      <c r="M40" s="169">
        <v>0.5</v>
      </c>
      <c r="N40" s="170">
        <f t="shared" si="6"/>
        <v>1</v>
      </c>
      <c r="O40" s="42"/>
      <c r="R40" s="165">
        <f t="shared" si="7"/>
        <v>0.8</v>
      </c>
      <c r="S40" s="166">
        <f t="shared" si="8"/>
        <v>0.8</v>
      </c>
    </row>
    <row r="41" spans="2:19" x14ac:dyDescent="0.25">
      <c r="B41" s="167">
        <f t="shared" si="2"/>
        <v>1973</v>
      </c>
      <c r="C41" s="168">
        <f t="shared" si="3"/>
        <v>0</v>
      </c>
      <c r="D41" s="169">
        <f t="shared" si="3"/>
        <v>0</v>
      </c>
      <c r="E41" s="169">
        <v>0.5</v>
      </c>
      <c r="F41" s="169">
        <f t="shared" si="3"/>
        <v>0</v>
      </c>
      <c r="G41" s="169">
        <v>0.5</v>
      </c>
      <c r="H41" s="170">
        <f t="shared" si="4"/>
        <v>1</v>
      </c>
      <c r="I41" s="168">
        <f t="shared" si="5"/>
        <v>0</v>
      </c>
      <c r="J41" s="169">
        <f t="shared" si="5"/>
        <v>0</v>
      </c>
      <c r="K41" s="169">
        <v>0.5</v>
      </c>
      <c r="L41" s="169">
        <v>0</v>
      </c>
      <c r="M41" s="169">
        <v>0.5</v>
      </c>
      <c r="N41" s="170">
        <f t="shared" si="6"/>
        <v>1</v>
      </c>
      <c r="O41" s="42"/>
      <c r="R41" s="165">
        <f t="shared" si="7"/>
        <v>0.8</v>
      </c>
      <c r="S41" s="166">
        <f t="shared" si="8"/>
        <v>0.8</v>
      </c>
    </row>
    <row r="42" spans="2:19" x14ac:dyDescent="0.25">
      <c r="B42" s="167">
        <f t="shared" si="2"/>
        <v>1974</v>
      </c>
      <c r="C42" s="168">
        <f t="shared" si="3"/>
        <v>0</v>
      </c>
      <c r="D42" s="169">
        <f t="shared" si="3"/>
        <v>0</v>
      </c>
      <c r="E42" s="169">
        <v>0.5</v>
      </c>
      <c r="F42" s="169">
        <f t="shared" si="3"/>
        <v>0</v>
      </c>
      <c r="G42" s="169">
        <v>0.5</v>
      </c>
      <c r="H42" s="170">
        <f t="shared" si="4"/>
        <v>1</v>
      </c>
      <c r="I42" s="168">
        <f t="shared" si="5"/>
        <v>0</v>
      </c>
      <c r="J42" s="169">
        <f t="shared" si="5"/>
        <v>0</v>
      </c>
      <c r="K42" s="169">
        <v>0.5</v>
      </c>
      <c r="L42" s="169">
        <v>0</v>
      </c>
      <c r="M42" s="169">
        <v>0.5</v>
      </c>
      <c r="N42" s="170">
        <f t="shared" si="6"/>
        <v>1</v>
      </c>
      <c r="O42" s="42"/>
      <c r="R42" s="165">
        <f t="shared" si="7"/>
        <v>0.8</v>
      </c>
      <c r="S42" s="166">
        <f t="shared" si="8"/>
        <v>0.8</v>
      </c>
    </row>
    <row r="43" spans="2:19" x14ac:dyDescent="0.25">
      <c r="B43" s="167">
        <f t="shared" si="2"/>
        <v>1975</v>
      </c>
      <c r="C43" s="168">
        <f t="shared" si="3"/>
        <v>0</v>
      </c>
      <c r="D43" s="169">
        <f t="shared" si="3"/>
        <v>0</v>
      </c>
      <c r="E43" s="169">
        <v>0.5</v>
      </c>
      <c r="F43" s="169">
        <f t="shared" si="3"/>
        <v>0</v>
      </c>
      <c r="G43" s="169">
        <v>0.5</v>
      </c>
      <c r="H43" s="170">
        <f t="shared" si="4"/>
        <v>1</v>
      </c>
      <c r="I43" s="168">
        <f t="shared" si="5"/>
        <v>0</v>
      </c>
      <c r="J43" s="169">
        <f t="shared" si="5"/>
        <v>0</v>
      </c>
      <c r="K43" s="169">
        <v>0.5</v>
      </c>
      <c r="L43" s="169">
        <v>0</v>
      </c>
      <c r="M43" s="169">
        <v>0.5</v>
      </c>
      <c r="N43" s="170">
        <f t="shared" si="6"/>
        <v>1</v>
      </c>
      <c r="O43" s="42"/>
      <c r="R43" s="165">
        <f t="shared" si="7"/>
        <v>0.8</v>
      </c>
      <c r="S43" s="166">
        <f t="shared" si="8"/>
        <v>0.8</v>
      </c>
    </row>
    <row r="44" spans="2:19" x14ac:dyDescent="0.25">
      <c r="B44" s="167">
        <f t="shared" si="2"/>
        <v>1976</v>
      </c>
      <c r="C44" s="168">
        <f t="shared" si="3"/>
        <v>0</v>
      </c>
      <c r="D44" s="169">
        <f t="shared" si="3"/>
        <v>0</v>
      </c>
      <c r="E44" s="169">
        <v>0.5</v>
      </c>
      <c r="F44" s="169">
        <f t="shared" si="3"/>
        <v>0</v>
      </c>
      <c r="G44" s="169">
        <v>0.5</v>
      </c>
      <c r="H44" s="170">
        <f t="shared" si="4"/>
        <v>1</v>
      </c>
      <c r="I44" s="168">
        <f t="shared" si="5"/>
        <v>0</v>
      </c>
      <c r="J44" s="169">
        <f t="shared" si="5"/>
        <v>0</v>
      </c>
      <c r="K44" s="169">
        <v>0.5</v>
      </c>
      <c r="L44" s="169">
        <v>0</v>
      </c>
      <c r="M44" s="169">
        <v>0.5</v>
      </c>
      <c r="N44" s="170">
        <f t="shared" si="6"/>
        <v>1</v>
      </c>
      <c r="O44" s="42"/>
      <c r="R44" s="165">
        <f t="shared" si="7"/>
        <v>0.8</v>
      </c>
      <c r="S44" s="166">
        <f t="shared" si="8"/>
        <v>0.8</v>
      </c>
    </row>
    <row r="45" spans="2:19" x14ac:dyDescent="0.25">
      <c r="B45" s="167">
        <f t="shared" si="2"/>
        <v>1977</v>
      </c>
      <c r="C45" s="168">
        <f t="shared" si="3"/>
        <v>0</v>
      </c>
      <c r="D45" s="169">
        <f t="shared" si="3"/>
        <v>0</v>
      </c>
      <c r="E45" s="169">
        <v>0.5</v>
      </c>
      <c r="F45" s="169">
        <f t="shared" si="3"/>
        <v>0</v>
      </c>
      <c r="G45" s="169">
        <v>0.5</v>
      </c>
      <c r="H45" s="170">
        <f t="shared" si="4"/>
        <v>1</v>
      </c>
      <c r="I45" s="168">
        <f t="shared" si="5"/>
        <v>0</v>
      </c>
      <c r="J45" s="169">
        <f t="shared" si="5"/>
        <v>0</v>
      </c>
      <c r="K45" s="169">
        <v>0.5</v>
      </c>
      <c r="L45" s="169">
        <v>0</v>
      </c>
      <c r="M45" s="169">
        <v>0.5</v>
      </c>
      <c r="N45" s="170">
        <f t="shared" si="6"/>
        <v>1</v>
      </c>
      <c r="O45" s="42"/>
      <c r="R45" s="165">
        <f t="shared" si="7"/>
        <v>0.8</v>
      </c>
      <c r="S45" s="166">
        <f t="shared" si="8"/>
        <v>0.8</v>
      </c>
    </row>
    <row r="46" spans="2:19" x14ac:dyDescent="0.25">
      <c r="B46" s="167">
        <f t="shared" si="2"/>
        <v>1978</v>
      </c>
      <c r="C46" s="168">
        <f t="shared" si="3"/>
        <v>0</v>
      </c>
      <c r="D46" s="169">
        <f t="shared" si="3"/>
        <v>0</v>
      </c>
      <c r="E46" s="169">
        <v>0.5</v>
      </c>
      <c r="F46" s="169">
        <f t="shared" si="3"/>
        <v>0</v>
      </c>
      <c r="G46" s="169">
        <v>0.5</v>
      </c>
      <c r="H46" s="170">
        <f t="shared" si="4"/>
        <v>1</v>
      </c>
      <c r="I46" s="168">
        <f t="shared" si="5"/>
        <v>0</v>
      </c>
      <c r="J46" s="169">
        <f t="shared" si="5"/>
        <v>0</v>
      </c>
      <c r="K46" s="169">
        <v>0.5</v>
      </c>
      <c r="L46" s="169">
        <v>0</v>
      </c>
      <c r="M46" s="169">
        <v>0.5</v>
      </c>
      <c r="N46" s="170">
        <f t="shared" si="6"/>
        <v>1</v>
      </c>
      <c r="O46" s="42"/>
      <c r="R46" s="165">
        <f t="shared" si="7"/>
        <v>0.8</v>
      </c>
      <c r="S46" s="166">
        <f t="shared" si="8"/>
        <v>0.8</v>
      </c>
    </row>
    <row r="47" spans="2:19" x14ac:dyDescent="0.25">
      <c r="B47" s="167">
        <f t="shared" si="2"/>
        <v>1979</v>
      </c>
      <c r="C47" s="168">
        <f t="shared" si="3"/>
        <v>0</v>
      </c>
      <c r="D47" s="169">
        <f t="shared" si="3"/>
        <v>0</v>
      </c>
      <c r="E47" s="169">
        <v>0.5</v>
      </c>
      <c r="F47" s="169">
        <f t="shared" si="3"/>
        <v>0</v>
      </c>
      <c r="G47" s="169">
        <v>0.5</v>
      </c>
      <c r="H47" s="170">
        <f t="shared" si="4"/>
        <v>1</v>
      </c>
      <c r="I47" s="168">
        <f t="shared" si="5"/>
        <v>0</v>
      </c>
      <c r="J47" s="169">
        <f t="shared" si="5"/>
        <v>0</v>
      </c>
      <c r="K47" s="169">
        <v>0.5</v>
      </c>
      <c r="L47" s="169">
        <v>0</v>
      </c>
      <c r="M47" s="169">
        <v>0.5</v>
      </c>
      <c r="N47" s="170">
        <f t="shared" si="6"/>
        <v>1</v>
      </c>
      <c r="O47" s="42"/>
      <c r="R47" s="165">
        <f t="shared" si="7"/>
        <v>0.8</v>
      </c>
      <c r="S47" s="166">
        <f t="shared" si="8"/>
        <v>0.8</v>
      </c>
    </row>
    <row r="48" spans="2:19" x14ac:dyDescent="0.25">
      <c r="B48" s="167">
        <f t="shared" si="2"/>
        <v>1980</v>
      </c>
      <c r="C48" s="168">
        <f t="shared" si="3"/>
        <v>0</v>
      </c>
      <c r="D48" s="169">
        <f t="shared" si="3"/>
        <v>0</v>
      </c>
      <c r="E48" s="169">
        <v>0.75</v>
      </c>
      <c r="F48" s="169">
        <f t="shared" si="3"/>
        <v>0</v>
      </c>
      <c r="G48" s="169">
        <v>0.25</v>
      </c>
      <c r="H48" s="170">
        <f t="shared" si="4"/>
        <v>1</v>
      </c>
      <c r="I48" s="168">
        <f t="shared" si="5"/>
        <v>0</v>
      </c>
      <c r="J48" s="169">
        <f t="shared" si="5"/>
        <v>0</v>
      </c>
      <c r="K48" s="169">
        <v>0.75</v>
      </c>
      <c r="L48" s="169">
        <v>0</v>
      </c>
      <c r="M48" s="169">
        <v>0.25</v>
      </c>
      <c r="N48" s="170">
        <f t="shared" si="6"/>
        <v>1</v>
      </c>
      <c r="O48" s="42"/>
      <c r="R48" s="165">
        <f t="shared" si="7"/>
        <v>0.9</v>
      </c>
      <c r="S48" s="166">
        <f t="shared" si="8"/>
        <v>0.9</v>
      </c>
    </row>
    <row r="49" spans="2:19" x14ac:dyDescent="0.25">
      <c r="B49" s="167">
        <f t="shared" si="2"/>
        <v>1981</v>
      </c>
      <c r="C49" s="168">
        <f t="shared" si="3"/>
        <v>0</v>
      </c>
      <c r="D49" s="169">
        <f t="shared" si="3"/>
        <v>0</v>
      </c>
      <c r="E49" s="169">
        <v>0.75</v>
      </c>
      <c r="F49" s="169">
        <f t="shared" si="3"/>
        <v>0</v>
      </c>
      <c r="G49" s="169">
        <v>0.25</v>
      </c>
      <c r="H49" s="170">
        <f t="shared" si="4"/>
        <v>1</v>
      </c>
      <c r="I49" s="168">
        <f t="shared" si="5"/>
        <v>0</v>
      </c>
      <c r="J49" s="169">
        <f t="shared" si="5"/>
        <v>0</v>
      </c>
      <c r="K49" s="169">
        <v>0.75</v>
      </c>
      <c r="L49" s="169">
        <v>0</v>
      </c>
      <c r="M49" s="169">
        <v>0.25</v>
      </c>
      <c r="N49" s="170">
        <f t="shared" si="6"/>
        <v>1</v>
      </c>
      <c r="O49" s="42"/>
      <c r="R49" s="165">
        <f t="shared" si="7"/>
        <v>0.9</v>
      </c>
      <c r="S49" s="166">
        <f t="shared" si="8"/>
        <v>0.9</v>
      </c>
    </row>
    <row r="50" spans="2:19" x14ac:dyDescent="0.25">
      <c r="B50" s="167">
        <f t="shared" si="2"/>
        <v>1982</v>
      </c>
      <c r="C50" s="168">
        <f t="shared" si="3"/>
        <v>0</v>
      </c>
      <c r="D50" s="169">
        <f t="shared" si="3"/>
        <v>0</v>
      </c>
      <c r="E50" s="169">
        <v>0.75</v>
      </c>
      <c r="F50" s="169">
        <f t="shared" si="3"/>
        <v>0</v>
      </c>
      <c r="G50" s="169">
        <v>0.25</v>
      </c>
      <c r="H50" s="170">
        <f t="shared" si="4"/>
        <v>1</v>
      </c>
      <c r="I50" s="168">
        <f t="shared" si="5"/>
        <v>0</v>
      </c>
      <c r="J50" s="169">
        <f t="shared" si="5"/>
        <v>0</v>
      </c>
      <c r="K50" s="169">
        <v>0.75</v>
      </c>
      <c r="L50" s="169">
        <v>0</v>
      </c>
      <c r="M50" s="169">
        <v>0.25</v>
      </c>
      <c r="N50" s="170">
        <f t="shared" si="6"/>
        <v>1</v>
      </c>
      <c r="O50" s="42"/>
      <c r="R50" s="165">
        <f t="shared" si="7"/>
        <v>0.9</v>
      </c>
      <c r="S50" s="166">
        <f t="shared" si="8"/>
        <v>0.9</v>
      </c>
    </row>
    <row r="51" spans="2:19" x14ac:dyDescent="0.25">
      <c r="B51" s="167">
        <f t="shared" si="2"/>
        <v>1983</v>
      </c>
      <c r="C51" s="168">
        <f t="shared" ref="C51:G108" si="9">C$16</f>
        <v>0</v>
      </c>
      <c r="D51" s="169">
        <f t="shared" si="9"/>
        <v>0</v>
      </c>
      <c r="E51" s="169">
        <v>0.75</v>
      </c>
      <c r="F51" s="169">
        <f t="shared" ref="F51:F57" si="10">F$16</f>
        <v>0</v>
      </c>
      <c r="G51" s="169">
        <v>0.25</v>
      </c>
      <c r="H51" s="170">
        <f t="shared" si="4"/>
        <v>1</v>
      </c>
      <c r="I51" s="168">
        <f t="shared" ref="I51:M108" si="11">I$16</f>
        <v>0</v>
      </c>
      <c r="J51" s="169">
        <f t="shared" si="11"/>
        <v>0</v>
      </c>
      <c r="K51" s="169">
        <v>0.75</v>
      </c>
      <c r="L51" s="169">
        <v>0</v>
      </c>
      <c r="M51" s="169">
        <v>0.25</v>
      </c>
      <c r="N51" s="170">
        <f t="shared" si="6"/>
        <v>1</v>
      </c>
      <c r="O51" s="42"/>
      <c r="R51" s="165">
        <f t="shared" si="7"/>
        <v>0.9</v>
      </c>
      <c r="S51" s="166">
        <f t="shared" si="8"/>
        <v>0.9</v>
      </c>
    </row>
    <row r="52" spans="2:19" x14ac:dyDescent="0.25">
      <c r="B52" s="167">
        <f t="shared" si="2"/>
        <v>1984</v>
      </c>
      <c r="C52" s="168">
        <f t="shared" si="9"/>
        <v>0</v>
      </c>
      <c r="D52" s="169">
        <f t="shared" si="9"/>
        <v>0</v>
      </c>
      <c r="E52" s="169">
        <v>0.75</v>
      </c>
      <c r="F52" s="169">
        <f t="shared" si="10"/>
        <v>0</v>
      </c>
      <c r="G52" s="169">
        <v>0.25</v>
      </c>
      <c r="H52" s="170">
        <f t="shared" si="4"/>
        <v>1</v>
      </c>
      <c r="I52" s="168">
        <f t="shared" si="11"/>
        <v>0</v>
      </c>
      <c r="J52" s="169">
        <f t="shared" si="11"/>
        <v>0</v>
      </c>
      <c r="K52" s="169">
        <v>0.75</v>
      </c>
      <c r="L52" s="169">
        <v>0</v>
      </c>
      <c r="M52" s="169">
        <v>0.25</v>
      </c>
      <c r="N52" s="170">
        <f t="shared" si="6"/>
        <v>1</v>
      </c>
      <c r="O52" s="42"/>
      <c r="R52" s="165">
        <f t="shared" si="7"/>
        <v>0.9</v>
      </c>
      <c r="S52" s="166">
        <f t="shared" si="8"/>
        <v>0.9</v>
      </c>
    </row>
    <row r="53" spans="2:19" x14ac:dyDescent="0.25">
      <c r="B53" s="167">
        <f t="shared" si="2"/>
        <v>1985</v>
      </c>
      <c r="C53" s="168">
        <f t="shared" si="9"/>
        <v>0</v>
      </c>
      <c r="D53" s="169">
        <f t="shared" si="9"/>
        <v>0</v>
      </c>
      <c r="E53" s="169">
        <v>0.75</v>
      </c>
      <c r="F53" s="169">
        <f t="shared" si="10"/>
        <v>0</v>
      </c>
      <c r="G53" s="169">
        <v>0.25</v>
      </c>
      <c r="H53" s="170">
        <f t="shared" si="4"/>
        <v>1</v>
      </c>
      <c r="I53" s="168">
        <f t="shared" si="11"/>
        <v>0</v>
      </c>
      <c r="J53" s="169">
        <f t="shared" si="11"/>
        <v>0</v>
      </c>
      <c r="K53" s="169">
        <v>0.75</v>
      </c>
      <c r="L53" s="169">
        <v>0</v>
      </c>
      <c r="M53" s="169">
        <v>0.25</v>
      </c>
      <c r="N53" s="170">
        <f t="shared" si="6"/>
        <v>1</v>
      </c>
      <c r="O53" s="42"/>
      <c r="R53" s="165">
        <f t="shared" si="7"/>
        <v>0.9</v>
      </c>
      <c r="S53" s="166">
        <f t="shared" si="8"/>
        <v>0.9</v>
      </c>
    </row>
    <row r="54" spans="2:19" x14ac:dyDescent="0.25">
      <c r="B54" s="167">
        <f t="shared" si="2"/>
        <v>1986</v>
      </c>
      <c r="C54" s="168">
        <f t="shared" si="9"/>
        <v>0</v>
      </c>
      <c r="D54" s="169">
        <f t="shared" si="9"/>
        <v>0</v>
      </c>
      <c r="E54" s="169">
        <v>0.75</v>
      </c>
      <c r="F54" s="169">
        <f t="shared" si="10"/>
        <v>0</v>
      </c>
      <c r="G54" s="169">
        <v>0.25</v>
      </c>
      <c r="H54" s="170">
        <f t="shared" si="4"/>
        <v>1</v>
      </c>
      <c r="I54" s="168">
        <f t="shared" si="11"/>
        <v>0</v>
      </c>
      <c r="J54" s="169">
        <f t="shared" si="11"/>
        <v>0</v>
      </c>
      <c r="K54" s="169">
        <v>0.75</v>
      </c>
      <c r="L54" s="169">
        <v>0</v>
      </c>
      <c r="M54" s="169">
        <v>0.25</v>
      </c>
      <c r="N54" s="170">
        <f t="shared" si="6"/>
        <v>1</v>
      </c>
      <c r="O54" s="42"/>
      <c r="R54" s="165">
        <f t="shared" si="7"/>
        <v>0.9</v>
      </c>
      <c r="S54" s="166">
        <f t="shared" si="8"/>
        <v>0.9</v>
      </c>
    </row>
    <row r="55" spans="2:19" x14ac:dyDescent="0.25">
      <c r="B55" s="167">
        <f t="shared" si="2"/>
        <v>1987</v>
      </c>
      <c r="C55" s="168">
        <f t="shared" si="9"/>
        <v>0</v>
      </c>
      <c r="D55" s="169">
        <f t="shared" si="9"/>
        <v>0</v>
      </c>
      <c r="E55" s="169">
        <v>0.75</v>
      </c>
      <c r="F55" s="169">
        <f t="shared" si="10"/>
        <v>0</v>
      </c>
      <c r="G55" s="169">
        <v>0.25</v>
      </c>
      <c r="H55" s="170">
        <f t="shared" si="4"/>
        <v>1</v>
      </c>
      <c r="I55" s="168">
        <f t="shared" si="11"/>
        <v>0</v>
      </c>
      <c r="J55" s="169">
        <f t="shared" si="11"/>
        <v>0</v>
      </c>
      <c r="K55" s="169">
        <v>0.75</v>
      </c>
      <c r="L55" s="169">
        <v>0</v>
      </c>
      <c r="M55" s="169">
        <v>0.25</v>
      </c>
      <c r="N55" s="170">
        <f t="shared" si="6"/>
        <v>1</v>
      </c>
      <c r="O55" s="42"/>
      <c r="R55" s="165">
        <f t="shared" si="7"/>
        <v>0.9</v>
      </c>
      <c r="S55" s="166">
        <f t="shared" si="8"/>
        <v>0.9</v>
      </c>
    </row>
    <row r="56" spans="2:19" x14ac:dyDescent="0.25">
      <c r="B56" s="167">
        <f t="shared" si="2"/>
        <v>1988</v>
      </c>
      <c r="C56" s="168">
        <f t="shared" si="9"/>
        <v>0</v>
      </c>
      <c r="D56" s="169">
        <f t="shared" si="9"/>
        <v>0</v>
      </c>
      <c r="E56" s="169">
        <v>0.75</v>
      </c>
      <c r="F56" s="169">
        <f t="shared" si="10"/>
        <v>0</v>
      </c>
      <c r="G56" s="169">
        <v>0.25</v>
      </c>
      <c r="H56" s="170">
        <f t="shared" si="4"/>
        <v>1</v>
      </c>
      <c r="I56" s="168">
        <f t="shared" si="11"/>
        <v>0</v>
      </c>
      <c r="J56" s="169">
        <f t="shared" si="11"/>
        <v>0</v>
      </c>
      <c r="K56" s="169">
        <v>0.75</v>
      </c>
      <c r="L56" s="169">
        <v>0</v>
      </c>
      <c r="M56" s="169">
        <v>0.25</v>
      </c>
      <c r="N56" s="170">
        <f t="shared" si="6"/>
        <v>1</v>
      </c>
      <c r="O56" s="42"/>
      <c r="R56" s="165">
        <f t="shared" si="7"/>
        <v>0.9</v>
      </c>
      <c r="S56" s="166">
        <f t="shared" si="8"/>
        <v>0.9</v>
      </c>
    </row>
    <row r="57" spans="2:19" x14ac:dyDescent="0.25">
      <c r="B57" s="167">
        <f t="shared" si="2"/>
        <v>1989</v>
      </c>
      <c r="C57" s="168">
        <f t="shared" si="9"/>
        <v>0</v>
      </c>
      <c r="D57" s="169">
        <f t="shared" si="9"/>
        <v>0</v>
      </c>
      <c r="E57" s="169">
        <v>0.75</v>
      </c>
      <c r="F57" s="169">
        <f t="shared" si="10"/>
        <v>0</v>
      </c>
      <c r="G57" s="169">
        <v>0.25</v>
      </c>
      <c r="H57" s="170">
        <f t="shared" si="4"/>
        <v>1</v>
      </c>
      <c r="I57" s="168">
        <f t="shared" si="11"/>
        <v>0</v>
      </c>
      <c r="J57" s="169">
        <f t="shared" si="11"/>
        <v>0</v>
      </c>
      <c r="K57" s="169">
        <v>0.75</v>
      </c>
      <c r="L57" s="169">
        <v>0</v>
      </c>
      <c r="M57" s="169">
        <v>0.25</v>
      </c>
      <c r="N57" s="170">
        <f t="shared" si="6"/>
        <v>1</v>
      </c>
      <c r="O57" s="42"/>
      <c r="R57" s="165">
        <f t="shared" si="7"/>
        <v>0.9</v>
      </c>
      <c r="S57" s="166">
        <f t="shared" si="8"/>
        <v>0.9</v>
      </c>
    </row>
    <row r="58" spans="2:19" x14ac:dyDescent="0.25">
      <c r="B58" s="167">
        <f t="shared" si="2"/>
        <v>1990</v>
      </c>
      <c r="C58" s="168">
        <f t="shared" si="9"/>
        <v>0</v>
      </c>
      <c r="D58" s="169">
        <f t="shared" si="9"/>
        <v>0</v>
      </c>
      <c r="E58" s="169">
        <f t="shared" si="9"/>
        <v>1</v>
      </c>
      <c r="F58" s="169">
        <f t="shared" si="9"/>
        <v>0</v>
      </c>
      <c r="G58" s="169">
        <f t="shared" si="9"/>
        <v>0</v>
      </c>
      <c r="H58" s="170">
        <f t="shared" si="4"/>
        <v>1</v>
      </c>
      <c r="I58" s="168">
        <f t="shared" si="11"/>
        <v>0</v>
      </c>
      <c r="J58" s="169">
        <f t="shared" si="11"/>
        <v>0</v>
      </c>
      <c r="K58" s="169">
        <f t="shared" si="11"/>
        <v>1</v>
      </c>
      <c r="L58" s="169">
        <f t="shared" si="11"/>
        <v>0</v>
      </c>
      <c r="M58" s="169">
        <f t="shared" si="11"/>
        <v>0</v>
      </c>
      <c r="N58" s="170">
        <f t="shared" si="6"/>
        <v>1</v>
      </c>
      <c r="O58" s="42"/>
      <c r="R58" s="165">
        <f t="shared" si="7"/>
        <v>1</v>
      </c>
      <c r="S58" s="166">
        <f t="shared" si="8"/>
        <v>1</v>
      </c>
    </row>
    <row r="59" spans="2:19" x14ac:dyDescent="0.25">
      <c r="B59" s="167">
        <f t="shared" si="2"/>
        <v>1991</v>
      </c>
      <c r="C59" s="168">
        <f t="shared" si="9"/>
        <v>0</v>
      </c>
      <c r="D59" s="169">
        <f t="shared" si="9"/>
        <v>0</v>
      </c>
      <c r="E59" s="169">
        <f t="shared" si="9"/>
        <v>1</v>
      </c>
      <c r="F59" s="169">
        <f t="shared" si="9"/>
        <v>0</v>
      </c>
      <c r="G59" s="169">
        <f t="shared" si="9"/>
        <v>0</v>
      </c>
      <c r="H59" s="170">
        <f t="shared" si="4"/>
        <v>1</v>
      </c>
      <c r="I59" s="168">
        <f t="shared" si="11"/>
        <v>0</v>
      </c>
      <c r="J59" s="169">
        <f t="shared" si="11"/>
        <v>0</v>
      </c>
      <c r="K59" s="169">
        <f t="shared" si="11"/>
        <v>1</v>
      </c>
      <c r="L59" s="169">
        <f t="shared" si="11"/>
        <v>0</v>
      </c>
      <c r="M59" s="169">
        <f t="shared" si="11"/>
        <v>0</v>
      </c>
      <c r="N59" s="170">
        <f t="shared" si="6"/>
        <v>1</v>
      </c>
      <c r="O59" s="42"/>
      <c r="R59" s="165">
        <f t="shared" si="7"/>
        <v>1</v>
      </c>
      <c r="S59" s="166">
        <f t="shared" si="8"/>
        <v>1</v>
      </c>
    </row>
    <row r="60" spans="2:19" x14ac:dyDescent="0.25">
      <c r="B60" s="167">
        <f t="shared" si="2"/>
        <v>1992</v>
      </c>
      <c r="C60" s="168">
        <f t="shared" si="9"/>
        <v>0</v>
      </c>
      <c r="D60" s="169">
        <f t="shared" si="9"/>
        <v>0</v>
      </c>
      <c r="E60" s="169">
        <f t="shared" si="9"/>
        <v>1</v>
      </c>
      <c r="F60" s="169">
        <f t="shared" si="9"/>
        <v>0</v>
      </c>
      <c r="G60" s="169">
        <f t="shared" si="9"/>
        <v>0</v>
      </c>
      <c r="H60" s="170">
        <f t="shared" si="4"/>
        <v>1</v>
      </c>
      <c r="I60" s="168">
        <f t="shared" si="11"/>
        <v>0</v>
      </c>
      <c r="J60" s="169">
        <f t="shared" si="11"/>
        <v>0</v>
      </c>
      <c r="K60" s="169">
        <f t="shared" si="11"/>
        <v>1</v>
      </c>
      <c r="L60" s="169">
        <f t="shared" si="11"/>
        <v>0</v>
      </c>
      <c r="M60" s="169">
        <f t="shared" si="11"/>
        <v>0</v>
      </c>
      <c r="N60" s="170">
        <f t="shared" si="6"/>
        <v>1</v>
      </c>
      <c r="O60" s="42"/>
      <c r="R60" s="165">
        <f t="shared" si="7"/>
        <v>1</v>
      </c>
      <c r="S60" s="166">
        <f t="shared" si="8"/>
        <v>1</v>
      </c>
    </row>
    <row r="61" spans="2:19" x14ac:dyDescent="0.25">
      <c r="B61" s="167">
        <f t="shared" si="2"/>
        <v>1993</v>
      </c>
      <c r="C61" s="168">
        <f t="shared" si="9"/>
        <v>0</v>
      </c>
      <c r="D61" s="169">
        <f t="shared" si="9"/>
        <v>0</v>
      </c>
      <c r="E61" s="169">
        <f t="shared" si="9"/>
        <v>1</v>
      </c>
      <c r="F61" s="169">
        <f t="shared" si="9"/>
        <v>0</v>
      </c>
      <c r="G61" s="169">
        <f t="shared" si="9"/>
        <v>0</v>
      </c>
      <c r="H61" s="170">
        <f t="shared" si="4"/>
        <v>1</v>
      </c>
      <c r="I61" s="168">
        <f t="shared" si="11"/>
        <v>0</v>
      </c>
      <c r="J61" s="169">
        <f t="shared" si="11"/>
        <v>0</v>
      </c>
      <c r="K61" s="169">
        <f t="shared" si="11"/>
        <v>1</v>
      </c>
      <c r="L61" s="169">
        <f t="shared" si="11"/>
        <v>0</v>
      </c>
      <c r="M61" s="169">
        <f t="shared" si="11"/>
        <v>0</v>
      </c>
      <c r="N61" s="170">
        <f t="shared" si="6"/>
        <v>1</v>
      </c>
      <c r="O61" s="42"/>
      <c r="R61" s="165">
        <f t="shared" si="7"/>
        <v>1</v>
      </c>
      <c r="S61" s="166">
        <f t="shared" si="8"/>
        <v>1</v>
      </c>
    </row>
    <row r="62" spans="2:19" x14ac:dyDescent="0.25">
      <c r="B62" s="167">
        <f t="shared" si="2"/>
        <v>1994</v>
      </c>
      <c r="C62" s="168">
        <f t="shared" si="9"/>
        <v>0</v>
      </c>
      <c r="D62" s="169">
        <f t="shared" si="9"/>
        <v>0</v>
      </c>
      <c r="E62" s="169">
        <f t="shared" si="9"/>
        <v>1</v>
      </c>
      <c r="F62" s="169">
        <f t="shared" si="9"/>
        <v>0</v>
      </c>
      <c r="G62" s="169">
        <f t="shared" si="9"/>
        <v>0</v>
      </c>
      <c r="H62" s="170">
        <f t="shared" si="4"/>
        <v>1</v>
      </c>
      <c r="I62" s="168">
        <f t="shared" si="11"/>
        <v>0</v>
      </c>
      <c r="J62" s="169">
        <f t="shared" si="11"/>
        <v>0</v>
      </c>
      <c r="K62" s="169">
        <f t="shared" si="11"/>
        <v>1</v>
      </c>
      <c r="L62" s="169">
        <f t="shared" si="11"/>
        <v>0</v>
      </c>
      <c r="M62" s="169">
        <f t="shared" si="11"/>
        <v>0</v>
      </c>
      <c r="N62" s="170">
        <f t="shared" si="6"/>
        <v>1</v>
      </c>
      <c r="O62" s="42"/>
      <c r="R62" s="165">
        <f t="shared" si="7"/>
        <v>1</v>
      </c>
      <c r="S62" s="166">
        <f t="shared" si="8"/>
        <v>1</v>
      </c>
    </row>
    <row r="63" spans="2:19" x14ac:dyDescent="0.25">
      <c r="B63" s="167">
        <f t="shared" si="2"/>
        <v>1995</v>
      </c>
      <c r="C63" s="168">
        <f t="shared" si="9"/>
        <v>0</v>
      </c>
      <c r="D63" s="169">
        <f t="shared" si="9"/>
        <v>0</v>
      </c>
      <c r="E63" s="169">
        <f t="shared" si="9"/>
        <v>1</v>
      </c>
      <c r="F63" s="169">
        <f t="shared" si="9"/>
        <v>0</v>
      </c>
      <c r="G63" s="169">
        <f t="shared" si="9"/>
        <v>0</v>
      </c>
      <c r="H63" s="170">
        <f t="shared" si="4"/>
        <v>1</v>
      </c>
      <c r="I63" s="168">
        <f t="shared" si="11"/>
        <v>0</v>
      </c>
      <c r="J63" s="169">
        <f t="shared" si="11"/>
        <v>0</v>
      </c>
      <c r="K63" s="169">
        <f t="shared" si="11"/>
        <v>1</v>
      </c>
      <c r="L63" s="169">
        <f t="shared" si="11"/>
        <v>0</v>
      </c>
      <c r="M63" s="169">
        <f t="shared" si="11"/>
        <v>0</v>
      </c>
      <c r="N63" s="170">
        <f t="shared" si="6"/>
        <v>1</v>
      </c>
      <c r="O63" s="42"/>
      <c r="R63" s="165">
        <f t="shared" si="7"/>
        <v>1</v>
      </c>
      <c r="S63" s="166">
        <f t="shared" si="8"/>
        <v>1</v>
      </c>
    </row>
    <row r="64" spans="2:19" x14ac:dyDescent="0.25">
      <c r="B64" s="167">
        <f t="shared" si="2"/>
        <v>1996</v>
      </c>
      <c r="C64" s="168">
        <f t="shared" si="9"/>
        <v>0</v>
      </c>
      <c r="D64" s="169">
        <f t="shared" si="9"/>
        <v>0</v>
      </c>
      <c r="E64" s="169">
        <f t="shared" si="9"/>
        <v>1</v>
      </c>
      <c r="F64" s="169">
        <f t="shared" si="9"/>
        <v>0</v>
      </c>
      <c r="G64" s="169">
        <f t="shared" si="9"/>
        <v>0</v>
      </c>
      <c r="H64" s="170">
        <f t="shared" si="4"/>
        <v>1</v>
      </c>
      <c r="I64" s="168">
        <f t="shared" si="11"/>
        <v>0</v>
      </c>
      <c r="J64" s="169">
        <f t="shared" si="11"/>
        <v>0</v>
      </c>
      <c r="K64" s="169">
        <f t="shared" si="11"/>
        <v>1</v>
      </c>
      <c r="L64" s="169">
        <f t="shared" si="11"/>
        <v>0</v>
      </c>
      <c r="M64" s="169">
        <f t="shared" si="11"/>
        <v>0</v>
      </c>
      <c r="N64" s="170">
        <f t="shared" si="6"/>
        <v>1</v>
      </c>
      <c r="O64" s="42"/>
      <c r="R64" s="165">
        <f t="shared" si="7"/>
        <v>1</v>
      </c>
      <c r="S64" s="166">
        <f t="shared" si="8"/>
        <v>1</v>
      </c>
    </row>
    <row r="65" spans="2:19" x14ac:dyDescent="0.25">
      <c r="B65" s="167">
        <f t="shared" si="2"/>
        <v>1997</v>
      </c>
      <c r="C65" s="168">
        <f t="shared" si="9"/>
        <v>0</v>
      </c>
      <c r="D65" s="169">
        <f t="shared" si="9"/>
        <v>0</v>
      </c>
      <c r="E65" s="169">
        <f t="shared" si="9"/>
        <v>1</v>
      </c>
      <c r="F65" s="169">
        <f t="shared" si="9"/>
        <v>0</v>
      </c>
      <c r="G65" s="169">
        <f t="shared" si="9"/>
        <v>0</v>
      </c>
      <c r="H65" s="170">
        <f t="shared" si="4"/>
        <v>1</v>
      </c>
      <c r="I65" s="168">
        <f t="shared" si="11"/>
        <v>0</v>
      </c>
      <c r="J65" s="169">
        <f t="shared" si="11"/>
        <v>0</v>
      </c>
      <c r="K65" s="169">
        <f t="shared" si="11"/>
        <v>1</v>
      </c>
      <c r="L65" s="169">
        <f t="shared" si="11"/>
        <v>0</v>
      </c>
      <c r="M65" s="169">
        <f t="shared" si="11"/>
        <v>0</v>
      </c>
      <c r="N65" s="170">
        <f t="shared" si="6"/>
        <v>1</v>
      </c>
      <c r="O65" s="42"/>
      <c r="R65" s="165">
        <f t="shared" si="7"/>
        <v>1</v>
      </c>
      <c r="S65" s="166">
        <f t="shared" si="8"/>
        <v>1</v>
      </c>
    </row>
    <row r="66" spans="2:19" x14ac:dyDescent="0.25">
      <c r="B66" s="167">
        <f t="shared" si="2"/>
        <v>1998</v>
      </c>
      <c r="C66" s="168">
        <f t="shared" si="9"/>
        <v>0</v>
      </c>
      <c r="D66" s="169">
        <f t="shared" si="9"/>
        <v>0</v>
      </c>
      <c r="E66" s="169">
        <f t="shared" si="9"/>
        <v>1</v>
      </c>
      <c r="F66" s="169">
        <f t="shared" si="9"/>
        <v>0</v>
      </c>
      <c r="G66" s="169">
        <f t="shared" si="9"/>
        <v>0</v>
      </c>
      <c r="H66" s="170">
        <f t="shared" si="4"/>
        <v>1</v>
      </c>
      <c r="I66" s="168">
        <f t="shared" si="11"/>
        <v>0</v>
      </c>
      <c r="J66" s="169">
        <f t="shared" si="11"/>
        <v>0</v>
      </c>
      <c r="K66" s="169">
        <f t="shared" si="11"/>
        <v>1</v>
      </c>
      <c r="L66" s="169">
        <f t="shared" si="11"/>
        <v>0</v>
      </c>
      <c r="M66" s="169">
        <f t="shared" si="11"/>
        <v>0</v>
      </c>
      <c r="N66" s="170">
        <f t="shared" si="6"/>
        <v>1</v>
      </c>
      <c r="O66" s="42"/>
      <c r="R66" s="165">
        <f t="shared" si="7"/>
        <v>1</v>
      </c>
      <c r="S66" s="166">
        <f t="shared" si="8"/>
        <v>1</v>
      </c>
    </row>
    <row r="67" spans="2:19" x14ac:dyDescent="0.25">
      <c r="B67" s="167">
        <f t="shared" si="2"/>
        <v>1999</v>
      </c>
      <c r="C67" s="168">
        <f t="shared" si="9"/>
        <v>0</v>
      </c>
      <c r="D67" s="169">
        <f t="shared" si="9"/>
        <v>0</v>
      </c>
      <c r="E67" s="169">
        <f t="shared" si="9"/>
        <v>1</v>
      </c>
      <c r="F67" s="169">
        <f t="shared" si="9"/>
        <v>0</v>
      </c>
      <c r="G67" s="169">
        <f t="shared" si="9"/>
        <v>0</v>
      </c>
      <c r="H67" s="170">
        <f t="shared" si="4"/>
        <v>1</v>
      </c>
      <c r="I67" s="168">
        <f t="shared" si="11"/>
        <v>0</v>
      </c>
      <c r="J67" s="169">
        <f t="shared" si="11"/>
        <v>0</v>
      </c>
      <c r="K67" s="169">
        <f t="shared" si="11"/>
        <v>1</v>
      </c>
      <c r="L67" s="169">
        <f t="shared" si="11"/>
        <v>0</v>
      </c>
      <c r="M67" s="169">
        <f t="shared" si="11"/>
        <v>0</v>
      </c>
      <c r="N67" s="170">
        <f t="shared" si="6"/>
        <v>1</v>
      </c>
      <c r="O67" s="42"/>
      <c r="R67" s="165">
        <f t="shared" si="7"/>
        <v>1</v>
      </c>
      <c r="S67" s="166">
        <f t="shared" si="8"/>
        <v>1</v>
      </c>
    </row>
    <row r="68" spans="2:19" x14ac:dyDescent="0.25">
      <c r="B68" s="167">
        <f t="shared" si="2"/>
        <v>2000</v>
      </c>
      <c r="C68" s="168">
        <f t="shared" si="9"/>
        <v>0</v>
      </c>
      <c r="D68" s="169">
        <f t="shared" si="9"/>
        <v>0</v>
      </c>
      <c r="E68" s="169">
        <f t="shared" si="9"/>
        <v>1</v>
      </c>
      <c r="F68" s="169">
        <f t="shared" si="9"/>
        <v>0</v>
      </c>
      <c r="G68" s="169">
        <f t="shared" si="9"/>
        <v>0</v>
      </c>
      <c r="H68" s="170">
        <f t="shared" si="4"/>
        <v>1</v>
      </c>
      <c r="I68" s="168">
        <f t="shared" si="11"/>
        <v>0</v>
      </c>
      <c r="J68" s="169">
        <f t="shared" si="11"/>
        <v>0</v>
      </c>
      <c r="K68" s="169">
        <f t="shared" si="11"/>
        <v>1</v>
      </c>
      <c r="L68" s="169">
        <f t="shared" si="11"/>
        <v>0</v>
      </c>
      <c r="M68" s="169">
        <f t="shared" si="11"/>
        <v>0</v>
      </c>
      <c r="N68" s="170">
        <f t="shared" si="6"/>
        <v>1</v>
      </c>
      <c r="O68" s="42"/>
      <c r="R68" s="165">
        <f t="shared" si="7"/>
        <v>1</v>
      </c>
      <c r="S68" s="166">
        <f t="shared" si="8"/>
        <v>1</v>
      </c>
    </row>
    <row r="69" spans="2:19" x14ac:dyDescent="0.25">
      <c r="B69" s="167">
        <f t="shared" si="2"/>
        <v>2001</v>
      </c>
      <c r="C69" s="168">
        <f t="shared" si="9"/>
        <v>0</v>
      </c>
      <c r="D69" s="169">
        <f t="shared" si="9"/>
        <v>0</v>
      </c>
      <c r="E69" s="169">
        <f t="shared" si="9"/>
        <v>1</v>
      </c>
      <c r="F69" s="169">
        <f t="shared" si="9"/>
        <v>0</v>
      </c>
      <c r="G69" s="169">
        <f t="shared" si="9"/>
        <v>0</v>
      </c>
      <c r="H69" s="170">
        <f t="shared" si="4"/>
        <v>1</v>
      </c>
      <c r="I69" s="168">
        <f t="shared" si="11"/>
        <v>0</v>
      </c>
      <c r="J69" s="169">
        <f t="shared" si="11"/>
        <v>0</v>
      </c>
      <c r="K69" s="169">
        <f t="shared" si="11"/>
        <v>1</v>
      </c>
      <c r="L69" s="169">
        <f t="shared" si="11"/>
        <v>0</v>
      </c>
      <c r="M69" s="169">
        <f t="shared" si="11"/>
        <v>0</v>
      </c>
      <c r="N69" s="170">
        <f t="shared" si="6"/>
        <v>1</v>
      </c>
      <c r="O69" s="42"/>
      <c r="R69" s="165">
        <f t="shared" si="7"/>
        <v>1</v>
      </c>
      <c r="S69" s="166">
        <f t="shared" si="8"/>
        <v>1</v>
      </c>
    </row>
    <row r="70" spans="2:19" x14ac:dyDescent="0.25">
      <c r="B70" s="167">
        <f t="shared" si="2"/>
        <v>2002</v>
      </c>
      <c r="C70" s="168">
        <f t="shared" si="9"/>
        <v>0</v>
      </c>
      <c r="D70" s="169">
        <f t="shared" si="9"/>
        <v>0</v>
      </c>
      <c r="E70" s="169">
        <f t="shared" si="9"/>
        <v>1</v>
      </c>
      <c r="F70" s="169">
        <f t="shared" si="9"/>
        <v>0</v>
      </c>
      <c r="G70" s="169">
        <f t="shared" si="9"/>
        <v>0</v>
      </c>
      <c r="H70" s="170">
        <f t="shared" si="4"/>
        <v>1</v>
      </c>
      <c r="I70" s="168">
        <f t="shared" si="11"/>
        <v>0</v>
      </c>
      <c r="J70" s="169">
        <f t="shared" si="11"/>
        <v>0</v>
      </c>
      <c r="K70" s="169">
        <f t="shared" si="11"/>
        <v>1</v>
      </c>
      <c r="L70" s="169">
        <f t="shared" si="11"/>
        <v>0</v>
      </c>
      <c r="M70" s="169">
        <f t="shared" si="11"/>
        <v>0</v>
      </c>
      <c r="N70" s="170">
        <f t="shared" si="6"/>
        <v>1</v>
      </c>
      <c r="O70" s="42"/>
      <c r="R70" s="165">
        <f t="shared" si="7"/>
        <v>1</v>
      </c>
      <c r="S70" s="166">
        <f t="shared" si="8"/>
        <v>1</v>
      </c>
    </row>
    <row r="71" spans="2:19" x14ac:dyDescent="0.25">
      <c r="B71" s="167">
        <f t="shared" si="2"/>
        <v>2003</v>
      </c>
      <c r="C71" s="168">
        <f t="shared" si="9"/>
        <v>0</v>
      </c>
      <c r="D71" s="169">
        <f t="shared" si="9"/>
        <v>0</v>
      </c>
      <c r="E71" s="169">
        <f t="shared" si="9"/>
        <v>1</v>
      </c>
      <c r="F71" s="169">
        <f t="shared" si="9"/>
        <v>0</v>
      </c>
      <c r="G71" s="169">
        <f t="shared" si="9"/>
        <v>0</v>
      </c>
      <c r="H71" s="170">
        <f t="shared" si="4"/>
        <v>1</v>
      </c>
      <c r="I71" s="168">
        <f t="shared" si="11"/>
        <v>0</v>
      </c>
      <c r="J71" s="169">
        <f t="shared" si="11"/>
        <v>0</v>
      </c>
      <c r="K71" s="169">
        <f t="shared" si="11"/>
        <v>1</v>
      </c>
      <c r="L71" s="169">
        <f t="shared" si="11"/>
        <v>0</v>
      </c>
      <c r="M71" s="169">
        <f t="shared" si="11"/>
        <v>0</v>
      </c>
      <c r="N71" s="170">
        <f t="shared" si="6"/>
        <v>1</v>
      </c>
      <c r="O71" s="42"/>
      <c r="R71" s="165">
        <f t="shared" si="7"/>
        <v>1</v>
      </c>
      <c r="S71" s="166">
        <f t="shared" si="8"/>
        <v>1</v>
      </c>
    </row>
    <row r="72" spans="2:19" x14ac:dyDescent="0.25">
      <c r="B72" s="167">
        <f t="shared" si="2"/>
        <v>2004</v>
      </c>
      <c r="C72" s="168">
        <f t="shared" si="9"/>
        <v>0</v>
      </c>
      <c r="D72" s="169">
        <f t="shared" si="9"/>
        <v>0</v>
      </c>
      <c r="E72" s="169">
        <f t="shared" si="9"/>
        <v>1</v>
      </c>
      <c r="F72" s="169">
        <f t="shared" si="9"/>
        <v>0</v>
      </c>
      <c r="G72" s="169">
        <f t="shared" si="9"/>
        <v>0</v>
      </c>
      <c r="H72" s="170">
        <f t="shared" si="4"/>
        <v>1</v>
      </c>
      <c r="I72" s="168">
        <f t="shared" si="11"/>
        <v>0</v>
      </c>
      <c r="J72" s="169">
        <f t="shared" si="11"/>
        <v>0</v>
      </c>
      <c r="K72" s="169">
        <f t="shared" si="11"/>
        <v>1</v>
      </c>
      <c r="L72" s="169">
        <f t="shared" si="11"/>
        <v>0</v>
      </c>
      <c r="M72" s="169">
        <f t="shared" si="11"/>
        <v>0</v>
      </c>
      <c r="N72" s="170">
        <f t="shared" si="6"/>
        <v>1</v>
      </c>
      <c r="O72" s="42"/>
      <c r="R72" s="165">
        <f t="shared" si="7"/>
        <v>1</v>
      </c>
      <c r="S72" s="166">
        <f t="shared" si="8"/>
        <v>1</v>
      </c>
    </row>
    <row r="73" spans="2:19" x14ac:dyDescent="0.25">
      <c r="B73" s="167">
        <f t="shared" si="2"/>
        <v>2005</v>
      </c>
      <c r="C73" s="168">
        <f t="shared" si="9"/>
        <v>0</v>
      </c>
      <c r="D73" s="169">
        <f t="shared" si="9"/>
        <v>0</v>
      </c>
      <c r="E73" s="169">
        <f t="shared" si="9"/>
        <v>1</v>
      </c>
      <c r="F73" s="169">
        <f t="shared" si="9"/>
        <v>0</v>
      </c>
      <c r="G73" s="169">
        <f t="shared" si="9"/>
        <v>0</v>
      </c>
      <c r="H73" s="170">
        <f t="shared" si="4"/>
        <v>1</v>
      </c>
      <c r="I73" s="168">
        <f t="shared" si="11"/>
        <v>0</v>
      </c>
      <c r="J73" s="169">
        <f t="shared" si="11"/>
        <v>0</v>
      </c>
      <c r="K73" s="169">
        <f t="shared" si="11"/>
        <v>1</v>
      </c>
      <c r="L73" s="169">
        <f t="shared" si="11"/>
        <v>0</v>
      </c>
      <c r="M73" s="169">
        <f t="shared" si="11"/>
        <v>0</v>
      </c>
      <c r="N73" s="170">
        <f t="shared" si="6"/>
        <v>1</v>
      </c>
      <c r="O73" s="42"/>
      <c r="R73" s="165">
        <f t="shared" si="7"/>
        <v>1</v>
      </c>
      <c r="S73" s="166">
        <f t="shared" si="8"/>
        <v>1</v>
      </c>
    </row>
    <row r="74" spans="2:19" x14ac:dyDescent="0.25">
      <c r="B74" s="167">
        <f t="shared" si="2"/>
        <v>2006</v>
      </c>
      <c r="C74" s="168">
        <f t="shared" si="9"/>
        <v>0</v>
      </c>
      <c r="D74" s="169">
        <f t="shared" si="9"/>
        <v>0</v>
      </c>
      <c r="E74" s="169">
        <f t="shared" si="9"/>
        <v>1</v>
      </c>
      <c r="F74" s="169">
        <f t="shared" si="9"/>
        <v>0</v>
      </c>
      <c r="G74" s="169">
        <f t="shared" si="9"/>
        <v>0</v>
      </c>
      <c r="H74" s="170">
        <f t="shared" si="4"/>
        <v>1</v>
      </c>
      <c r="I74" s="168">
        <f t="shared" si="11"/>
        <v>0</v>
      </c>
      <c r="J74" s="169">
        <f t="shared" si="11"/>
        <v>0</v>
      </c>
      <c r="K74" s="169">
        <f t="shared" si="11"/>
        <v>1</v>
      </c>
      <c r="L74" s="169">
        <f t="shared" si="11"/>
        <v>0</v>
      </c>
      <c r="M74" s="169">
        <f t="shared" si="11"/>
        <v>0</v>
      </c>
      <c r="N74" s="170">
        <f t="shared" si="6"/>
        <v>1</v>
      </c>
      <c r="O74" s="42"/>
      <c r="R74" s="165">
        <f t="shared" si="7"/>
        <v>1</v>
      </c>
      <c r="S74" s="166">
        <f t="shared" si="8"/>
        <v>1</v>
      </c>
    </row>
    <row r="75" spans="2:19" x14ac:dyDescent="0.25">
      <c r="B75" s="167">
        <f t="shared" si="2"/>
        <v>2007</v>
      </c>
      <c r="C75" s="168">
        <f t="shared" si="9"/>
        <v>0</v>
      </c>
      <c r="D75" s="169">
        <f t="shared" si="9"/>
        <v>0</v>
      </c>
      <c r="E75" s="169">
        <f t="shared" si="9"/>
        <v>1</v>
      </c>
      <c r="F75" s="169">
        <f t="shared" si="9"/>
        <v>0</v>
      </c>
      <c r="G75" s="169">
        <f t="shared" si="9"/>
        <v>0</v>
      </c>
      <c r="H75" s="170">
        <f t="shared" si="4"/>
        <v>1</v>
      </c>
      <c r="I75" s="168">
        <f t="shared" si="11"/>
        <v>0</v>
      </c>
      <c r="J75" s="169">
        <f t="shared" si="11"/>
        <v>0</v>
      </c>
      <c r="K75" s="169">
        <f t="shared" si="11"/>
        <v>1</v>
      </c>
      <c r="L75" s="169">
        <f t="shared" si="11"/>
        <v>0</v>
      </c>
      <c r="M75" s="169">
        <f t="shared" si="11"/>
        <v>0</v>
      </c>
      <c r="N75" s="170">
        <f t="shared" si="6"/>
        <v>1</v>
      </c>
      <c r="O75" s="42"/>
      <c r="R75" s="165">
        <f t="shared" si="7"/>
        <v>1</v>
      </c>
      <c r="S75" s="166">
        <f t="shared" si="8"/>
        <v>1</v>
      </c>
    </row>
    <row r="76" spans="2:19" x14ac:dyDescent="0.25">
      <c r="B76" s="167">
        <f t="shared" si="2"/>
        <v>2008</v>
      </c>
      <c r="C76" s="168">
        <f t="shared" si="9"/>
        <v>0</v>
      </c>
      <c r="D76" s="169">
        <f t="shared" si="9"/>
        <v>0</v>
      </c>
      <c r="E76" s="169">
        <f t="shared" si="9"/>
        <v>1</v>
      </c>
      <c r="F76" s="169">
        <f t="shared" si="9"/>
        <v>0</v>
      </c>
      <c r="G76" s="169">
        <f t="shared" si="9"/>
        <v>0</v>
      </c>
      <c r="H76" s="170">
        <f t="shared" si="4"/>
        <v>1</v>
      </c>
      <c r="I76" s="168">
        <f t="shared" si="11"/>
        <v>0</v>
      </c>
      <c r="J76" s="169">
        <f t="shared" si="11"/>
        <v>0</v>
      </c>
      <c r="K76" s="169">
        <f t="shared" si="11"/>
        <v>1</v>
      </c>
      <c r="L76" s="169">
        <f t="shared" si="11"/>
        <v>0</v>
      </c>
      <c r="M76" s="169">
        <f t="shared" si="11"/>
        <v>0</v>
      </c>
      <c r="N76" s="170">
        <f t="shared" si="6"/>
        <v>1</v>
      </c>
      <c r="O76" s="42"/>
      <c r="R76" s="165">
        <f t="shared" si="7"/>
        <v>1</v>
      </c>
      <c r="S76" s="166">
        <f t="shared" si="8"/>
        <v>1</v>
      </c>
    </row>
    <row r="77" spans="2:19" x14ac:dyDescent="0.25">
      <c r="B77" s="167">
        <f t="shared" si="2"/>
        <v>2009</v>
      </c>
      <c r="C77" s="168">
        <f t="shared" si="9"/>
        <v>0</v>
      </c>
      <c r="D77" s="169">
        <f t="shared" si="9"/>
        <v>0</v>
      </c>
      <c r="E77" s="169">
        <f t="shared" si="9"/>
        <v>1</v>
      </c>
      <c r="F77" s="169">
        <f t="shared" si="9"/>
        <v>0</v>
      </c>
      <c r="G77" s="169">
        <f t="shared" si="9"/>
        <v>0</v>
      </c>
      <c r="H77" s="170">
        <f t="shared" si="4"/>
        <v>1</v>
      </c>
      <c r="I77" s="168">
        <f t="shared" si="11"/>
        <v>0</v>
      </c>
      <c r="J77" s="169">
        <f t="shared" si="11"/>
        <v>0</v>
      </c>
      <c r="K77" s="169">
        <f t="shared" si="11"/>
        <v>1</v>
      </c>
      <c r="L77" s="169">
        <f t="shared" si="11"/>
        <v>0</v>
      </c>
      <c r="M77" s="169">
        <f t="shared" si="11"/>
        <v>0</v>
      </c>
      <c r="N77" s="170">
        <f t="shared" si="6"/>
        <v>1</v>
      </c>
      <c r="O77" s="42"/>
      <c r="R77" s="165">
        <f t="shared" si="7"/>
        <v>1</v>
      </c>
      <c r="S77" s="166">
        <f t="shared" si="8"/>
        <v>1</v>
      </c>
    </row>
    <row r="78" spans="2:19" x14ac:dyDescent="0.25">
      <c r="B78" s="167">
        <f t="shared" si="2"/>
        <v>2010</v>
      </c>
      <c r="C78" s="168">
        <f t="shared" si="9"/>
        <v>0</v>
      </c>
      <c r="D78" s="169">
        <f t="shared" si="9"/>
        <v>0</v>
      </c>
      <c r="E78" s="169">
        <f t="shared" si="9"/>
        <v>1</v>
      </c>
      <c r="F78" s="169">
        <f t="shared" si="9"/>
        <v>0</v>
      </c>
      <c r="G78" s="169">
        <f t="shared" si="9"/>
        <v>0</v>
      </c>
      <c r="H78" s="170">
        <f t="shared" si="4"/>
        <v>1</v>
      </c>
      <c r="I78" s="168">
        <f t="shared" si="11"/>
        <v>0</v>
      </c>
      <c r="J78" s="169">
        <f t="shared" si="11"/>
        <v>0</v>
      </c>
      <c r="K78" s="169">
        <f t="shared" si="11"/>
        <v>1</v>
      </c>
      <c r="L78" s="169">
        <f t="shared" si="11"/>
        <v>0</v>
      </c>
      <c r="M78" s="169">
        <f t="shared" si="11"/>
        <v>0</v>
      </c>
      <c r="N78" s="170">
        <f t="shared" si="6"/>
        <v>1</v>
      </c>
      <c r="O78" s="42"/>
      <c r="R78" s="165">
        <f t="shared" si="7"/>
        <v>1</v>
      </c>
      <c r="S78" s="166">
        <f t="shared" si="8"/>
        <v>1</v>
      </c>
    </row>
    <row r="79" spans="2:19" x14ac:dyDescent="0.25">
      <c r="B79" s="167">
        <f t="shared" si="2"/>
        <v>2011</v>
      </c>
      <c r="C79" s="168">
        <f t="shared" si="9"/>
        <v>0</v>
      </c>
      <c r="D79" s="169">
        <f t="shared" si="9"/>
        <v>0</v>
      </c>
      <c r="E79" s="169">
        <f t="shared" si="9"/>
        <v>1</v>
      </c>
      <c r="F79" s="169">
        <f t="shared" si="9"/>
        <v>0</v>
      </c>
      <c r="G79" s="169">
        <f t="shared" si="9"/>
        <v>0</v>
      </c>
      <c r="H79" s="170">
        <f t="shared" si="4"/>
        <v>1</v>
      </c>
      <c r="I79" s="168">
        <f t="shared" si="11"/>
        <v>0</v>
      </c>
      <c r="J79" s="169">
        <f t="shared" si="11"/>
        <v>0</v>
      </c>
      <c r="K79" s="169">
        <f t="shared" si="11"/>
        <v>1</v>
      </c>
      <c r="L79" s="169">
        <f t="shared" si="11"/>
        <v>0</v>
      </c>
      <c r="M79" s="169">
        <f t="shared" si="11"/>
        <v>0</v>
      </c>
      <c r="N79" s="170">
        <f t="shared" si="6"/>
        <v>1</v>
      </c>
      <c r="O79" s="42"/>
      <c r="R79" s="165">
        <f t="shared" si="7"/>
        <v>1</v>
      </c>
      <c r="S79" s="166">
        <f t="shared" si="8"/>
        <v>1</v>
      </c>
    </row>
    <row r="80" spans="2:19" x14ac:dyDescent="0.25">
      <c r="B80" s="167">
        <f t="shared" si="2"/>
        <v>2012</v>
      </c>
      <c r="C80" s="168">
        <f t="shared" si="9"/>
        <v>0</v>
      </c>
      <c r="D80" s="169">
        <f t="shared" si="9"/>
        <v>0</v>
      </c>
      <c r="E80" s="169">
        <f t="shared" si="9"/>
        <v>1</v>
      </c>
      <c r="F80" s="169">
        <f t="shared" si="9"/>
        <v>0</v>
      </c>
      <c r="G80" s="169">
        <f t="shared" si="9"/>
        <v>0</v>
      </c>
      <c r="H80" s="170">
        <f t="shared" si="4"/>
        <v>1</v>
      </c>
      <c r="I80" s="168">
        <f t="shared" si="11"/>
        <v>0</v>
      </c>
      <c r="J80" s="169">
        <f t="shared" si="11"/>
        <v>0</v>
      </c>
      <c r="K80" s="169">
        <f t="shared" si="11"/>
        <v>1</v>
      </c>
      <c r="L80" s="169">
        <f t="shared" si="11"/>
        <v>0</v>
      </c>
      <c r="M80" s="169">
        <f t="shared" si="11"/>
        <v>0</v>
      </c>
      <c r="N80" s="170">
        <f t="shared" si="6"/>
        <v>1</v>
      </c>
      <c r="O80" s="42"/>
      <c r="R80" s="165">
        <f t="shared" si="7"/>
        <v>1</v>
      </c>
      <c r="S80" s="166">
        <f t="shared" si="8"/>
        <v>1</v>
      </c>
    </row>
    <row r="81" spans="2:19" x14ac:dyDescent="0.25">
      <c r="B81" s="167">
        <f>B80+1</f>
        <v>2013</v>
      </c>
      <c r="C81" s="168">
        <f t="shared" si="9"/>
        <v>0</v>
      </c>
      <c r="D81" s="169">
        <f t="shared" si="9"/>
        <v>0</v>
      </c>
      <c r="E81" s="169">
        <f t="shared" si="9"/>
        <v>1</v>
      </c>
      <c r="F81" s="169">
        <f t="shared" si="9"/>
        <v>0</v>
      </c>
      <c r="G81" s="169">
        <f t="shared" si="9"/>
        <v>0</v>
      </c>
      <c r="H81" s="170">
        <f t="shared" si="4"/>
        <v>1</v>
      </c>
      <c r="I81" s="168">
        <f t="shared" si="11"/>
        <v>0</v>
      </c>
      <c r="J81" s="169">
        <f t="shared" si="11"/>
        <v>0</v>
      </c>
      <c r="K81" s="169">
        <f t="shared" si="11"/>
        <v>1</v>
      </c>
      <c r="L81" s="169">
        <f t="shared" si="11"/>
        <v>0</v>
      </c>
      <c r="M81" s="169">
        <f t="shared" si="11"/>
        <v>0</v>
      </c>
      <c r="N81" s="170">
        <f t="shared" si="6"/>
        <v>1</v>
      </c>
      <c r="O81" s="42"/>
      <c r="R81" s="165">
        <f t="shared" si="7"/>
        <v>1</v>
      </c>
      <c r="S81" s="166">
        <f t="shared" si="8"/>
        <v>1</v>
      </c>
    </row>
    <row r="82" spans="2:19" x14ac:dyDescent="0.25">
      <c r="B82" s="167">
        <f t="shared" si="2"/>
        <v>2014</v>
      </c>
      <c r="C82" s="168">
        <f t="shared" si="9"/>
        <v>0</v>
      </c>
      <c r="D82" s="169">
        <f t="shared" si="9"/>
        <v>0</v>
      </c>
      <c r="E82" s="169">
        <f t="shared" si="9"/>
        <v>1</v>
      </c>
      <c r="F82" s="169">
        <f t="shared" si="9"/>
        <v>0</v>
      </c>
      <c r="G82" s="169">
        <f t="shared" si="9"/>
        <v>0</v>
      </c>
      <c r="H82" s="170">
        <f t="shared" si="4"/>
        <v>1</v>
      </c>
      <c r="I82" s="168">
        <f t="shared" si="11"/>
        <v>0</v>
      </c>
      <c r="J82" s="169">
        <f t="shared" si="11"/>
        <v>0</v>
      </c>
      <c r="K82" s="169">
        <f t="shared" si="11"/>
        <v>1</v>
      </c>
      <c r="L82" s="169">
        <f t="shared" si="11"/>
        <v>0</v>
      </c>
      <c r="M82" s="169">
        <f t="shared" si="11"/>
        <v>0</v>
      </c>
      <c r="N82" s="170">
        <f t="shared" si="6"/>
        <v>1</v>
      </c>
      <c r="O82" s="42"/>
      <c r="R82" s="165">
        <f t="shared" si="7"/>
        <v>1</v>
      </c>
      <c r="S82" s="166">
        <f t="shared" si="8"/>
        <v>1</v>
      </c>
    </row>
    <row r="83" spans="2:19" x14ac:dyDescent="0.25">
      <c r="B83" s="167">
        <f t="shared" ref="B83:B108" si="12">B82+1</f>
        <v>2015</v>
      </c>
      <c r="C83" s="168">
        <f t="shared" si="9"/>
        <v>0</v>
      </c>
      <c r="D83" s="169">
        <f t="shared" si="9"/>
        <v>0</v>
      </c>
      <c r="E83" s="169">
        <f t="shared" si="9"/>
        <v>1</v>
      </c>
      <c r="F83" s="169">
        <f t="shared" si="9"/>
        <v>0</v>
      </c>
      <c r="G83" s="169">
        <f t="shared" si="9"/>
        <v>0</v>
      </c>
      <c r="H83" s="170">
        <f t="shared" ref="H83:H108" si="13">SUM(C83:G83)</f>
        <v>1</v>
      </c>
      <c r="I83" s="168">
        <f t="shared" si="11"/>
        <v>0</v>
      </c>
      <c r="J83" s="169">
        <f t="shared" si="11"/>
        <v>0</v>
      </c>
      <c r="K83" s="169">
        <f t="shared" si="11"/>
        <v>1</v>
      </c>
      <c r="L83" s="169">
        <f t="shared" si="11"/>
        <v>0</v>
      </c>
      <c r="M83" s="169">
        <f t="shared" si="11"/>
        <v>0</v>
      </c>
      <c r="N83" s="170">
        <f t="shared" ref="N83:N108" si="14">SUM(I83:M83)</f>
        <v>1</v>
      </c>
      <c r="O83" s="42"/>
      <c r="R83" s="165">
        <f t="shared" ref="R83:R96" si="15">C83*C$13+D83*D$13+E83*E$13+F83*F$13+G83*G$13</f>
        <v>1</v>
      </c>
      <c r="S83" s="166">
        <f t="shared" ref="S83:S96" si="16">I83*I$13+J83*J$13+K83*K$13+L83*L$13+M83*M$13</f>
        <v>1</v>
      </c>
    </row>
    <row r="84" spans="2:19" x14ac:dyDescent="0.25">
      <c r="B84" s="167">
        <f t="shared" si="12"/>
        <v>2016</v>
      </c>
      <c r="C84" s="168">
        <f t="shared" si="9"/>
        <v>0</v>
      </c>
      <c r="D84" s="169">
        <f t="shared" si="9"/>
        <v>0</v>
      </c>
      <c r="E84" s="169">
        <f t="shared" si="9"/>
        <v>1</v>
      </c>
      <c r="F84" s="169">
        <f t="shared" si="9"/>
        <v>0</v>
      </c>
      <c r="G84" s="169">
        <f t="shared" si="9"/>
        <v>0</v>
      </c>
      <c r="H84" s="170">
        <f t="shared" si="13"/>
        <v>1</v>
      </c>
      <c r="I84" s="168">
        <f t="shared" si="11"/>
        <v>0</v>
      </c>
      <c r="J84" s="169">
        <f t="shared" si="11"/>
        <v>0</v>
      </c>
      <c r="K84" s="169">
        <f t="shared" si="11"/>
        <v>1</v>
      </c>
      <c r="L84" s="169">
        <f t="shared" si="11"/>
        <v>0</v>
      </c>
      <c r="M84" s="169">
        <f t="shared" si="11"/>
        <v>0</v>
      </c>
      <c r="N84" s="170">
        <f t="shared" si="14"/>
        <v>1</v>
      </c>
      <c r="O84" s="42"/>
      <c r="R84" s="165">
        <f t="shared" si="15"/>
        <v>1</v>
      </c>
      <c r="S84" s="166">
        <f t="shared" si="16"/>
        <v>1</v>
      </c>
    </row>
    <row r="85" spans="2:19" x14ac:dyDescent="0.25">
      <c r="B85" s="167">
        <f t="shared" si="12"/>
        <v>2017</v>
      </c>
      <c r="C85" s="168">
        <f t="shared" ref="C85:G108" si="17">C$16</f>
        <v>0</v>
      </c>
      <c r="D85" s="169">
        <f t="shared" si="17"/>
        <v>0</v>
      </c>
      <c r="E85" s="169">
        <f t="shared" si="17"/>
        <v>1</v>
      </c>
      <c r="F85" s="169">
        <f t="shared" si="17"/>
        <v>0</v>
      </c>
      <c r="G85" s="169">
        <f t="shared" si="17"/>
        <v>0</v>
      </c>
      <c r="H85" s="170">
        <f t="shared" ref="H85:H108" si="18">SUM(C85:G85)</f>
        <v>1</v>
      </c>
      <c r="I85" s="168">
        <f t="shared" ref="I85:M108" si="19">I$16</f>
        <v>0</v>
      </c>
      <c r="J85" s="169">
        <f t="shared" si="19"/>
        <v>0</v>
      </c>
      <c r="K85" s="169">
        <f t="shared" si="19"/>
        <v>1</v>
      </c>
      <c r="L85" s="169">
        <f t="shared" si="19"/>
        <v>0</v>
      </c>
      <c r="M85" s="169">
        <f t="shared" si="19"/>
        <v>0</v>
      </c>
      <c r="N85" s="170">
        <f t="shared" ref="N85:N108" si="20">SUM(I85:M85)</f>
        <v>1</v>
      </c>
      <c r="O85" s="42"/>
      <c r="R85" s="165">
        <f t="shared" ref="R85:R108" si="21">C85*C$13+D85*D$13+E85*E$13+F85*F$13+G85*G$13</f>
        <v>1</v>
      </c>
      <c r="S85" s="166">
        <f t="shared" ref="S85:S108" si="22">I85*I$13+J85*J$13+K85*K$13+L85*L$13+M85*M$13</f>
        <v>1</v>
      </c>
    </row>
    <row r="86" spans="2:19" x14ac:dyDescent="0.25">
      <c r="B86" s="167">
        <f t="shared" si="12"/>
        <v>2018</v>
      </c>
      <c r="C86" s="168">
        <f t="shared" si="17"/>
        <v>0</v>
      </c>
      <c r="D86" s="169">
        <f t="shared" si="17"/>
        <v>0</v>
      </c>
      <c r="E86" s="169">
        <f t="shared" si="17"/>
        <v>1</v>
      </c>
      <c r="F86" s="169">
        <f t="shared" si="17"/>
        <v>0</v>
      </c>
      <c r="G86" s="169">
        <f t="shared" si="17"/>
        <v>0</v>
      </c>
      <c r="H86" s="170">
        <f t="shared" si="18"/>
        <v>1</v>
      </c>
      <c r="I86" s="168">
        <f t="shared" si="19"/>
        <v>0</v>
      </c>
      <c r="J86" s="169">
        <f t="shared" si="19"/>
        <v>0</v>
      </c>
      <c r="K86" s="169">
        <f t="shared" si="19"/>
        <v>1</v>
      </c>
      <c r="L86" s="169">
        <f t="shared" si="19"/>
        <v>0</v>
      </c>
      <c r="M86" s="169">
        <f t="shared" si="19"/>
        <v>0</v>
      </c>
      <c r="N86" s="170">
        <f t="shared" si="20"/>
        <v>1</v>
      </c>
      <c r="O86" s="42"/>
      <c r="R86" s="165">
        <f t="shared" si="21"/>
        <v>1</v>
      </c>
      <c r="S86" s="166">
        <f t="shared" si="22"/>
        <v>1</v>
      </c>
    </row>
    <row r="87" spans="2:19" x14ac:dyDescent="0.25">
      <c r="B87" s="167">
        <f t="shared" si="12"/>
        <v>2019</v>
      </c>
      <c r="C87" s="168">
        <f t="shared" si="17"/>
        <v>0</v>
      </c>
      <c r="D87" s="169">
        <f t="shared" si="17"/>
        <v>0</v>
      </c>
      <c r="E87" s="169">
        <f t="shared" si="17"/>
        <v>1</v>
      </c>
      <c r="F87" s="169">
        <f t="shared" si="17"/>
        <v>0</v>
      </c>
      <c r="G87" s="169">
        <f t="shared" si="17"/>
        <v>0</v>
      </c>
      <c r="H87" s="170">
        <f t="shared" si="18"/>
        <v>1</v>
      </c>
      <c r="I87" s="168">
        <f t="shared" si="19"/>
        <v>0</v>
      </c>
      <c r="J87" s="169">
        <f t="shared" si="19"/>
        <v>0</v>
      </c>
      <c r="K87" s="169">
        <f t="shared" si="19"/>
        <v>1</v>
      </c>
      <c r="L87" s="169">
        <f t="shared" si="19"/>
        <v>0</v>
      </c>
      <c r="M87" s="169">
        <f t="shared" si="19"/>
        <v>0</v>
      </c>
      <c r="N87" s="170">
        <f t="shared" si="20"/>
        <v>1</v>
      </c>
      <c r="O87" s="42"/>
      <c r="R87" s="165">
        <f t="shared" si="21"/>
        <v>1</v>
      </c>
      <c r="S87" s="166">
        <f t="shared" si="22"/>
        <v>1</v>
      </c>
    </row>
    <row r="88" spans="2:19" x14ac:dyDescent="0.25">
      <c r="B88" s="167">
        <f t="shared" si="12"/>
        <v>2020</v>
      </c>
      <c r="C88" s="168">
        <f t="shared" si="17"/>
        <v>0</v>
      </c>
      <c r="D88" s="169">
        <f t="shared" si="17"/>
        <v>0</v>
      </c>
      <c r="E88" s="169">
        <f t="shared" si="17"/>
        <v>1</v>
      </c>
      <c r="F88" s="169">
        <f t="shared" si="17"/>
        <v>0</v>
      </c>
      <c r="G88" s="169">
        <f t="shared" si="17"/>
        <v>0</v>
      </c>
      <c r="H88" s="170">
        <f t="shared" si="18"/>
        <v>1</v>
      </c>
      <c r="I88" s="168">
        <f t="shared" si="19"/>
        <v>0</v>
      </c>
      <c r="J88" s="169">
        <f t="shared" si="19"/>
        <v>0</v>
      </c>
      <c r="K88" s="169">
        <f t="shared" si="19"/>
        <v>1</v>
      </c>
      <c r="L88" s="169">
        <f t="shared" si="19"/>
        <v>0</v>
      </c>
      <c r="M88" s="169">
        <f t="shared" si="19"/>
        <v>0</v>
      </c>
      <c r="N88" s="170">
        <f t="shared" si="20"/>
        <v>1</v>
      </c>
      <c r="O88" s="42"/>
      <c r="R88" s="165">
        <f t="shared" si="21"/>
        <v>1</v>
      </c>
      <c r="S88" s="166">
        <f t="shared" si="22"/>
        <v>1</v>
      </c>
    </row>
    <row r="89" spans="2:19" x14ac:dyDescent="0.25">
      <c r="B89" s="167">
        <f t="shared" si="12"/>
        <v>2021</v>
      </c>
      <c r="C89" s="168">
        <f t="shared" si="17"/>
        <v>0</v>
      </c>
      <c r="D89" s="169">
        <f t="shared" si="17"/>
        <v>0</v>
      </c>
      <c r="E89" s="169">
        <f t="shared" si="17"/>
        <v>1</v>
      </c>
      <c r="F89" s="169">
        <f t="shared" si="17"/>
        <v>0</v>
      </c>
      <c r="G89" s="169">
        <f t="shared" si="17"/>
        <v>0</v>
      </c>
      <c r="H89" s="170">
        <f t="shared" si="18"/>
        <v>1</v>
      </c>
      <c r="I89" s="168">
        <f t="shared" si="19"/>
        <v>0</v>
      </c>
      <c r="J89" s="169">
        <f t="shared" si="19"/>
        <v>0</v>
      </c>
      <c r="K89" s="169">
        <f t="shared" si="19"/>
        <v>1</v>
      </c>
      <c r="L89" s="169">
        <f t="shared" si="19"/>
        <v>0</v>
      </c>
      <c r="M89" s="169">
        <f t="shared" si="19"/>
        <v>0</v>
      </c>
      <c r="N89" s="170">
        <f t="shared" si="20"/>
        <v>1</v>
      </c>
      <c r="O89" s="42"/>
      <c r="R89" s="165">
        <f t="shared" si="21"/>
        <v>1</v>
      </c>
      <c r="S89" s="166">
        <f t="shared" si="22"/>
        <v>1</v>
      </c>
    </row>
    <row r="90" spans="2:19" x14ac:dyDescent="0.25">
      <c r="B90" s="167">
        <f t="shared" si="12"/>
        <v>2022</v>
      </c>
      <c r="C90" s="168">
        <f t="shared" si="17"/>
        <v>0</v>
      </c>
      <c r="D90" s="169">
        <f t="shared" si="17"/>
        <v>0</v>
      </c>
      <c r="E90" s="169">
        <f t="shared" si="17"/>
        <v>1</v>
      </c>
      <c r="F90" s="169">
        <f t="shared" si="17"/>
        <v>0</v>
      </c>
      <c r="G90" s="169">
        <f t="shared" si="17"/>
        <v>0</v>
      </c>
      <c r="H90" s="170">
        <f t="shared" si="18"/>
        <v>1</v>
      </c>
      <c r="I90" s="168">
        <f t="shared" si="19"/>
        <v>0</v>
      </c>
      <c r="J90" s="169">
        <f t="shared" si="19"/>
        <v>0</v>
      </c>
      <c r="K90" s="169">
        <f t="shared" si="19"/>
        <v>1</v>
      </c>
      <c r="L90" s="169">
        <f t="shared" si="19"/>
        <v>0</v>
      </c>
      <c r="M90" s="169">
        <f t="shared" si="19"/>
        <v>0</v>
      </c>
      <c r="N90" s="170">
        <f t="shared" si="20"/>
        <v>1</v>
      </c>
      <c r="O90" s="42"/>
      <c r="R90" s="165">
        <f t="shared" si="21"/>
        <v>1</v>
      </c>
      <c r="S90" s="166">
        <f t="shared" si="22"/>
        <v>1</v>
      </c>
    </row>
    <row r="91" spans="2:19" x14ac:dyDescent="0.25">
      <c r="B91" s="167">
        <f t="shared" si="12"/>
        <v>2023</v>
      </c>
      <c r="C91" s="168">
        <f t="shared" si="17"/>
        <v>0</v>
      </c>
      <c r="D91" s="169">
        <f t="shared" si="17"/>
        <v>0</v>
      </c>
      <c r="E91" s="169">
        <f t="shared" si="17"/>
        <v>1</v>
      </c>
      <c r="F91" s="169">
        <f t="shared" si="17"/>
        <v>0</v>
      </c>
      <c r="G91" s="169">
        <f t="shared" si="17"/>
        <v>0</v>
      </c>
      <c r="H91" s="170">
        <f t="shared" si="18"/>
        <v>1</v>
      </c>
      <c r="I91" s="168">
        <f t="shared" si="19"/>
        <v>0</v>
      </c>
      <c r="J91" s="169">
        <f t="shared" si="19"/>
        <v>0</v>
      </c>
      <c r="K91" s="169">
        <f t="shared" si="19"/>
        <v>1</v>
      </c>
      <c r="L91" s="169">
        <f t="shared" si="19"/>
        <v>0</v>
      </c>
      <c r="M91" s="169">
        <f t="shared" si="19"/>
        <v>0</v>
      </c>
      <c r="N91" s="170">
        <f t="shared" si="20"/>
        <v>1</v>
      </c>
      <c r="O91" s="42"/>
      <c r="R91" s="165">
        <f t="shared" si="21"/>
        <v>1</v>
      </c>
      <c r="S91" s="166">
        <f t="shared" si="22"/>
        <v>1</v>
      </c>
    </row>
    <row r="92" spans="2:19" x14ac:dyDescent="0.25">
      <c r="B92" s="167">
        <f t="shared" si="12"/>
        <v>2024</v>
      </c>
      <c r="C92" s="168">
        <f t="shared" si="17"/>
        <v>0</v>
      </c>
      <c r="D92" s="169">
        <f t="shared" si="17"/>
        <v>0</v>
      </c>
      <c r="E92" s="169">
        <f t="shared" si="17"/>
        <v>1</v>
      </c>
      <c r="F92" s="169">
        <f t="shared" si="17"/>
        <v>0</v>
      </c>
      <c r="G92" s="169">
        <f t="shared" si="17"/>
        <v>0</v>
      </c>
      <c r="H92" s="170">
        <f t="shared" si="18"/>
        <v>1</v>
      </c>
      <c r="I92" s="168">
        <f t="shared" si="19"/>
        <v>0</v>
      </c>
      <c r="J92" s="169">
        <f t="shared" si="19"/>
        <v>0</v>
      </c>
      <c r="K92" s="169">
        <f t="shared" si="19"/>
        <v>1</v>
      </c>
      <c r="L92" s="169">
        <f t="shared" si="19"/>
        <v>0</v>
      </c>
      <c r="M92" s="169">
        <f t="shared" si="19"/>
        <v>0</v>
      </c>
      <c r="N92" s="170">
        <f t="shared" si="20"/>
        <v>1</v>
      </c>
      <c r="O92" s="42"/>
      <c r="R92" s="165">
        <f t="shared" si="21"/>
        <v>1</v>
      </c>
      <c r="S92" s="166">
        <f t="shared" si="22"/>
        <v>1</v>
      </c>
    </row>
    <row r="93" spans="2:19" x14ac:dyDescent="0.25">
      <c r="B93" s="167">
        <f t="shared" si="12"/>
        <v>2025</v>
      </c>
      <c r="C93" s="168">
        <f t="shared" si="17"/>
        <v>0</v>
      </c>
      <c r="D93" s="169">
        <f t="shared" si="17"/>
        <v>0</v>
      </c>
      <c r="E93" s="169">
        <f t="shared" si="17"/>
        <v>1</v>
      </c>
      <c r="F93" s="169">
        <f t="shared" si="17"/>
        <v>0</v>
      </c>
      <c r="G93" s="169">
        <f t="shared" si="17"/>
        <v>0</v>
      </c>
      <c r="H93" s="170">
        <f t="shared" si="18"/>
        <v>1</v>
      </c>
      <c r="I93" s="168">
        <f t="shared" si="19"/>
        <v>0</v>
      </c>
      <c r="J93" s="169">
        <f t="shared" si="19"/>
        <v>0</v>
      </c>
      <c r="K93" s="169">
        <f t="shared" si="19"/>
        <v>1</v>
      </c>
      <c r="L93" s="169">
        <f t="shared" si="19"/>
        <v>0</v>
      </c>
      <c r="M93" s="169">
        <f t="shared" si="19"/>
        <v>0</v>
      </c>
      <c r="N93" s="170">
        <f t="shared" si="20"/>
        <v>1</v>
      </c>
      <c r="O93" s="42"/>
      <c r="R93" s="165">
        <f t="shared" si="21"/>
        <v>1</v>
      </c>
      <c r="S93" s="166">
        <f t="shared" si="22"/>
        <v>1</v>
      </c>
    </row>
    <row r="94" spans="2:19" x14ac:dyDescent="0.25">
      <c r="B94" s="167">
        <f t="shared" si="12"/>
        <v>2026</v>
      </c>
      <c r="C94" s="168">
        <f t="shared" si="17"/>
        <v>0</v>
      </c>
      <c r="D94" s="169">
        <f t="shared" si="17"/>
        <v>0</v>
      </c>
      <c r="E94" s="169">
        <f t="shared" si="17"/>
        <v>1</v>
      </c>
      <c r="F94" s="169">
        <f t="shared" si="17"/>
        <v>0</v>
      </c>
      <c r="G94" s="169">
        <f t="shared" si="17"/>
        <v>0</v>
      </c>
      <c r="H94" s="170">
        <f t="shared" si="18"/>
        <v>1</v>
      </c>
      <c r="I94" s="168">
        <f t="shared" si="19"/>
        <v>0</v>
      </c>
      <c r="J94" s="169">
        <f t="shared" si="19"/>
        <v>0</v>
      </c>
      <c r="K94" s="169">
        <f t="shared" si="19"/>
        <v>1</v>
      </c>
      <c r="L94" s="169">
        <f t="shared" si="19"/>
        <v>0</v>
      </c>
      <c r="M94" s="169">
        <f t="shared" si="19"/>
        <v>0</v>
      </c>
      <c r="N94" s="170">
        <f t="shared" si="20"/>
        <v>1</v>
      </c>
      <c r="O94" s="42"/>
      <c r="R94" s="165">
        <f t="shared" si="21"/>
        <v>1</v>
      </c>
      <c r="S94" s="166">
        <f t="shared" si="22"/>
        <v>1</v>
      </c>
    </row>
    <row r="95" spans="2:19" x14ac:dyDescent="0.25">
      <c r="B95" s="167">
        <f t="shared" si="12"/>
        <v>2027</v>
      </c>
      <c r="C95" s="168">
        <f t="shared" si="17"/>
        <v>0</v>
      </c>
      <c r="D95" s="169">
        <f t="shared" si="17"/>
        <v>0</v>
      </c>
      <c r="E95" s="169">
        <f t="shared" si="17"/>
        <v>1</v>
      </c>
      <c r="F95" s="169">
        <f t="shared" si="17"/>
        <v>0</v>
      </c>
      <c r="G95" s="169">
        <f t="shared" si="17"/>
        <v>0</v>
      </c>
      <c r="H95" s="170">
        <f t="shared" si="18"/>
        <v>1</v>
      </c>
      <c r="I95" s="168">
        <f t="shared" si="19"/>
        <v>0</v>
      </c>
      <c r="J95" s="169">
        <f t="shared" si="19"/>
        <v>0</v>
      </c>
      <c r="K95" s="169">
        <f t="shared" si="19"/>
        <v>1</v>
      </c>
      <c r="L95" s="169">
        <f t="shared" si="19"/>
        <v>0</v>
      </c>
      <c r="M95" s="169">
        <f t="shared" si="19"/>
        <v>0</v>
      </c>
      <c r="N95" s="170">
        <f t="shared" si="20"/>
        <v>1</v>
      </c>
      <c r="O95" s="42"/>
      <c r="R95" s="165">
        <f t="shared" si="21"/>
        <v>1</v>
      </c>
      <c r="S95" s="166">
        <f t="shared" si="22"/>
        <v>1</v>
      </c>
    </row>
    <row r="96" spans="2:19" x14ac:dyDescent="0.25">
      <c r="B96" s="167">
        <f t="shared" si="12"/>
        <v>2028</v>
      </c>
      <c r="C96" s="168">
        <f t="shared" si="17"/>
        <v>0</v>
      </c>
      <c r="D96" s="169">
        <f t="shared" si="17"/>
        <v>0</v>
      </c>
      <c r="E96" s="169">
        <f t="shared" si="17"/>
        <v>1</v>
      </c>
      <c r="F96" s="169">
        <f t="shared" si="17"/>
        <v>0</v>
      </c>
      <c r="G96" s="169">
        <f t="shared" si="17"/>
        <v>0</v>
      </c>
      <c r="H96" s="170">
        <f t="shared" si="18"/>
        <v>1</v>
      </c>
      <c r="I96" s="168">
        <f t="shared" si="19"/>
        <v>0</v>
      </c>
      <c r="J96" s="169">
        <f t="shared" si="19"/>
        <v>0</v>
      </c>
      <c r="K96" s="169">
        <f t="shared" si="19"/>
        <v>1</v>
      </c>
      <c r="L96" s="169">
        <f t="shared" si="19"/>
        <v>0</v>
      </c>
      <c r="M96" s="169">
        <f t="shared" si="19"/>
        <v>0</v>
      </c>
      <c r="N96" s="170">
        <f t="shared" si="20"/>
        <v>1</v>
      </c>
      <c r="O96" s="42"/>
      <c r="R96" s="165">
        <f t="shared" si="21"/>
        <v>1</v>
      </c>
      <c r="S96" s="166">
        <f t="shared" si="22"/>
        <v>1</v>
      </c>
    </row>
    <row r="97" spans="2:19" x14ac:dyDescent="0.25">
      <c r="B97" s="167">
        <f t="shared" si="12"/>
        <v>2029</v>
      </c>
      <c r="C97" s="168">
        <f t="shared" si="17"/>
        <v>0</v>
      </c>
      <c r="D97" s="169">
        <f t="shared" si="17"/>
        <v>0</v>
      </c>
      <c r="E97" s="169">
        <f t="shared" si="17"/>
        <v>1</v>
      </c>
      <c r="F97" s="169">
        <f t="shared" si="17"/>
        <v>0</v>
      </c>
      <c r="G97" s="169">
        <f t="shared" si="17"/>
        <v>0</v>
      </c>
      <c r="H97" s="170">
        <f t="shared" si="18"/>
        <v>1</v>
      </c>
      <c r="I97" s="168">
        <f t="shared" si="19"/>
        <v>0</v>
      </c>
      <c r="J97" s="169">
        <f t="shared" si="19"/>
        <v>0</v>
      </c>
      <c r="K97" s="169">
        <f t="shared" si="19"/>
        <v>1</v>
      </c>
      <c r="L97" s="169">
        <f t="shared" si="19"/>
        <v>0</v>
      </c>
      <c r="M97" s="169">
        <f t="shared" si="19"/>
        <v>0</v>
      </c>
      <c r="N97" s="170">
        <f t="shared" si="20"/>
        <v>1</v>
      </c>
      <c r="O97" s="42"/>
      <c r="R97" s="165">
        <f t="shared" si="21"/>
        <v>1</v>
      </c>
      <c r="S97" s="166">
        <f t="shared" si="22"/>
        <v>1</v>
      </c>
    </row>
    <row r="98" spans="2:19" x14ac:dyDescent="0.25">
      <c r="B98" s="167">
        <f t="shared" si="12"/>
        <v>2030</v>
      </c>
      <c r="C98" s="168">
        <f t="shared" si="17"/>
        <v>0</v>
      </c>
      <c r="D98" s="169">
        <f t="shared" si="17"/>
        <v>0</v>
      </c>
      <c r="E98" s="169">
        <f t="shared" si="17"/>
        <v>1</v>
      </c>
      <c r="F98" s="169">
        <f t="shared" si="17"/>
        <v>0</v>
      </c>
      <c r="G98" s="169">
        <f t="shared" si="17"/>
        <v>0</v>
      </c>
      <c r="H98" s="170">
        <f t="shared" si="18"/>
        <v>1</v>
      </c>
      <c r="I98" s="168">
        <f t="shared" si="19"/>
        <v>0</v>
      </c>
      <c r="J98" s="169">
        <f t="shared" si="19"/>
        <v>0</v>
      </c>
      <c r="K98" s="169">
        <f t="shared" si="19"/>
        <v>1</v>
      </c>
      <c r="L98" s="169">
        <f t="shared" si="19"/>
        <v>0</v>
      </c>
      <c r="M98" s="169">
        <f t="shared" si="19"/>
        <v>0</v>
      </c>
      <c r="N98" s="170">
        <f t="shared" si="20"/>
        <v>1</v>
      </c>
      <c r="O98" s="42"/>
      <c r="R98" s="165">
        <f t="shared" si="21"/>
        <v>1</v>
      </c>
      <c r="S98" s="166">
        <f t="shared" si="22"/>
        <v>1</v>
      </c>
    </row>
    <row r="99" spans="2:19" x14ac:dyDescent="0.25">
      <c r="B99" s="167">
        <f t="shared" si="12"/>
        <v>2031</v>
      </c>
      <c r="C99" s="168">
        <f t="shared" si="17"/>
        <v>0</v>
      </c>
      <c r="D99" s="169">
        <f t="shared" si="17"/>
        <v>0</v>
      </c>
      <c r="E99" s="169">
        <f t="shared" si="17"/>
        <v>1</v>
      </c>
      <c r="F99" s="169">
        <f t="shared" si="17"/>
        <v>0</v>
      </c>
      <c r="G99" s="169">
        <f t="shared" si="17"/>
        <v>0</v>
      </c>
      <c r="H99" s="170">
        <f t="shared" si="18"/>
        <v>1</v>
      </c>
      <c r="I99" s="168">
        <f t="shared" si="19"/>
        <v>0</v>
      </c>
      <c r="J99" s="169">
        <f t="shared" si="19"/>
        <v>0</v>
      </c>
      <c r="K99" s="169">
        <f t="shared" si="19"/>
        <v>1</v>
      </c>
      <c r="L99" s="169">
        <f t="shared" si="19"/>
        <v>0</v>
      </c>
      <c r="M99" s="169">
        <f t="shared" si="19"/>
        <v>0</v>
      </c>
      <c r="N99" s="170">
        <f t="shared" si="20"/>
        <v>1</v>
      </c>
      <c r="O99" s="42"/>
      <c r="R99" s="165">
        <f t="shared" si="21"/>
        <v>1</v>
      </c>
      <c r="S99" s="166">
        <f t="shared" si="22"/>
        <v>1</v>
      </c>
    </row>
    <row r="100" spans="2:19" x14ac:dyDescent="0.25">
      <c r="B100" s="167">
        <f t="shared" si="12"/>
        <v>2032</v>
      </c>
      <c r="C100" s="168">
        <f t="shared" si="17"/>
        <v>0</v>
      </c>
      <c r="D100" s="169">
        <f t="shared" si="17"/>
        <v>0</v>
      </c>
      <c r="E100" s="169">
        <f t="shared" si="17"/>
        <v>1</v>
      </c>
      <c r="F100" s="169">
        <f t="shared" si="17"/>
        <v>0</v>
      </c>
      <c r="G100" s="169">
        <f t="shared" si="17"/>
        <v>0</v>
      </c>
      <c r="H100" s="170">
        <f t="shared" si="18"/>
        <v>1</v>
      </c>
      <c r="I100" s="168">
        <f t="shared" si="19"/>
        <v>0</v>
      </c>
      <c r="J100" s="169">
        <f t="shared" si="19"/>
        <v>0</v>
      </c>
      <c r="K100" s="169">
        <f t="shared" si="19"/>
        <v>1</v>
      </c>
      <c r="L100" s="169">
        <f t="shared" si="19"/>
        <v>0</v>
      </c>
      <c r="M100" s="169">
        <f t="shared" si="19"/>
        <v>0</v>
      </c>
      <c r="N100" s="170">
        <f t="shared" si="20"/>
        <v>1</v>
      </c>
      <c r="O100" s="42"/>
      <c r="R100" s="165">
        <f t="shared" si="21"/>
        <v>1</v>
      </c>
      <c r="S100" s="166">
        <f t="shared" si="22"/>
        <v>1</v>
      </c>
    </row>
    <row r="101" spans="2:19" x14ac:dyDescent="0.25">
      <c r="B101" s="167">
        <f t="shared" si="12"/>
        <v>2033</v>
      </c>
      <c r="C101" s="168">
        <f t="shared" si="17"/>
        <v>0</v>
      </c>
      <c r="D101" s="169">
        <f t="shared" si="17"/>
        <v>0</v>
      </c>
      <c r="E101" s="169">
        <f t="shared" si="17"/>
        <v>1</v>
      </c>
      <c r="F101" s="169">
        <f t="shared" si="17"/>
        <v>0</v>
      </c>
      <c r="G101" s="169">
        <f t="shared" si="17"/>
        <v>0</v>
      </c>
      <c r="H101" s="170">
        <f t="shared" si="18"/>
        <v>1</v>
      </c>
      <c r="I101" s="168">
        <f t="shared" si="19"/>
        <v>0</v>
      </c>
      <c r="J101" s="169">
        <f t="shared" si="19"/>
        <v>0</v>
      </c>
      <c r="K101" s="169">
        <f t="shared" si="19"/>
        <v>1</v>
      </c>
      <c r="L101" s="169">
        <f t="shared" si="19"/>
        <v>0</v>
      </c>
      <c r="M101" s="169">
        <f t="shared" si="19"/>
        <v>0</v>
      </c>
      <c r="N101" s="170">
        <f t="shared" si="20"/>
        <v>1</v>
      </c>
      <c r="O101" s="42"/>
      <c r="R101" s="165">
        <f t="shared" si="21"/>
        <v>1</v>
      </c>
      <c r="S101" s="166">
        <f t="shared" si="22"/>
        <v>1</v>
      </c>
    </row>
    <row r="102" spans="2:19" x14ac:dyDescent="0.25">
      <c r="B102" s="167">
        <f t="shared" si="12"/>
        <v>2034</v>
      </c>
      <c r="C102" s="168">
        <f t="shared" si="17"/>
        <v>0</v>
      </c>
      <c r="D102" s="169">
        <f t="shared" si="17"/>
        <v>0</v>
      </c>
      <c r="E102" s="169">
        <f t="shared" si="17"/>
        <v>1</v>
      </c>
      <c r="F102" s="169">
        <f t="shared" si="17"/>
        <v>0</v>
      </c>
      <c r="G102" s="169">
        <f t="shared" si="17"/>
        <v>0</v>
      </c>
      <c r="H102" s="170">
        <f t="shared" si="18"/>
        <v>1</v>
      </c>
      <c r="I102" s="168">
        <f t="shared" si="19"/>
        <v>0</v>
      </c>
      <c r="J102" s="169">
        <f t="shared" si="19"/>
        <v>0</v>
      </c>
      <c r="K102" s="169">
        <f t="shared" si="19"/>
        <v>1</v>
      </c>
      <c r="L102" s="169">
        <f t="shared" si="19"/>
        <v>0</v>
      </c>
      <c r="M102" s="169">
        <f t="shared" si="19"/>
        <v>0</v>
      </c>
      <c r="N102" s="170">
        <f t="shared" si="20"/>
        <v>1</v>
      </c>
      <c r="O102" s="42"/>
      <c r="R102" s="165">
        <f t="shared" si="21"/>
        <v>1</v>
      </c>
      <c r="S102" s="166">
        <f t="shared" si="22"/>
        <v>1</v>
      </c>
    </row>
    <row r="103" spans="2:19" x14ac:dyDescent="0.25">
      <c r="B103" s="167">
        <f t="shared" si="12"/>
        <v>2035</v>
      </c>
      <c r="C103" s="168">
        <f t="shared" si="17"/>
        <v>0</v>
      </c>
      <c r="D103" s="169">
        <f t="shared" si="17"/>
        <v>0</v>
      </c>
      <c r="E103" s="169">
        <f t="shared" si="17"/>
        <v>1</v>
      </c>
      <c r="F103" s="169">
        <f t="shared" si="17"/>
        <v>0</v>
      </c>
      <c r="G103" s="169">
        <f t="shared" si="17"/>
        <v>0</v>
      </c>
      <c r="H103" s="170">
        <f t="shared" si="18"/>
        <v>1</v>
      </c>
      <c r="I103" s="168">
        <f t="shared" si="19"/>
        <v>0</v>
      </c>
      <c r="J103" s="169">
        <f t="shared" si="19"/>
        <v>0</v>
      </c>
      <c r="K103" s="169">
        <f t="shared" si="19"/>
        <v>1</v>
      </c>
      <c r="L103" s="169">
        <f t="shared" si="19"/>
        <v>0</v>
      </c>
      <c r="M103" s="169">
        <f t="shared" si="19"/>
        <v>0</v>
      </c>
      <c r="N103" s="170">
        <f t="shared" si="20"/>
        <v>1</v>
      </c>
      <c r="O103" s="42"/>
      <c r="R103" s="165">
        <f t="shared" si="21"/>
        <v>1</v>
      </c>
      <c r="S103" s="166">
        <f t="shared" si="22"/>
        <v>1</v>
      </c>
    </row>
    <row r="104" spans="2:19" x14ac:dyDescent="0.25">
      <c r="B104" s="167">
        <f t="shared" si="12"/>
        <v>2036</v>
      </c>
      <c r="C104" s="168">
        <f t="shared" si="17"/>
        <v>0</v>
      </c>
      <c r="D104" s="169">
        <f t="shared" si="17"/>
        <v>0</v>
      </c>
      <c r="E104" s="169">
        <f t="shared" si="17"/>
        <v>1</v>
      </c>
      <c r="F104" s="169">
        <f t="shared" si="17"/>
        <v>0</v>
      </c>
      <c r="G104" s="169">
        <f t="shared" si="17"/>
        <v>0</v>
      </c>
      <c r="H104" s="170">
        <f t="shared" si="18"/>
        <v>1</v>
      </c>
      <c r="I104" s="168">
        <f t="shared" si="19"/>
        <v>0</v>
      </c>
      <c r="J104" s="169">
        <f t="shared" si="19"/>
        <v>0</v>
      </c>
      <c r="K104" s="169">
        <f t="shared" si="19"/>
        <v>1</v>
      </c>
      <c r="L104" s="169">
        <f t="shared" si="19"/>
        <v>0</v>
      </c>
      <c r="M104" s="169">
        <f t="shared" si="19"/>
        <v>0</v>
      </c>
      <c r="N104" s="170">
        <f t="shared" si="20"/>
        <v>1</v>
      </c>
      <c r="O104" s="42"/>
      <c r="R104" s="165">
        <f t="shared" si="21"/>
        <v>1</v>
      </c>
      <c r="S104" s="166">
        <f t="shared" si="22"/>
        <v>1</v>
      </c>
    </row>
    <row r="105" spans="2:19" x14ac:dyDescent="0.25">
      <c r="B105" s="167">
        <f t="shared" si="12"/>
        <v>2037</v>
      </c>
      <c r="C105" s="168">
        <f t="shared" si="17"/>
        <v>0</v>
      </c>
      <c r="D105" s="169">
        <f t="shared" si="17"/>
        <v>0</v>
      </c>
      <c r="E105" s="169">
        <f t="shared" si="17"/>
        <v>1</v>
      </c>
      <c r="F105" s="169">
        <f t="shared" si="17"/>
        <v>0</v>
      </c>
      <c r="G105" s="169">
        <f t="shared" si="17"/>
        <v>0</v>
      </c>
      <c r="H105" s="170">
        <f t="shared" si="18"/>
        <v>1</v>
      </c>
      <c r="I105" s="168">
        <f t="shared" si="19"/>
        <v>0</v>
      </c>
      <c r="J105" s="169">
        <f t="shared" si="19"/>
        <v>0</v>
      </c>
      <c r="K105" s="169">
        <f t="shared" si="19"/>
        <v>1</v>
      </c>
      <c r="L105" s="169">
        <f t="shared" si="19"/>
        <v>0</v>
      </c>
      <c r="M105" s="169">
        <f t="shared" si="19"/>
        <v>0</v>
      </c>
      <c r="N105" s="170">
        <f t="shared" si="20"/>
        <v>1</v>
      </c>
      <c r="O105" s="42"/>
      <c r="R105" s="165">
        <f t="shared" si="21"/>
        <v>1</v>
      </c>
      <c r="S105" s="166">
        <f t="shared" si="22"/>
        <v>1</v>
      </c>
    </row>
    <row r="106" spans="2:19" x14ac:dyDescent="0.25">
      <c r="B106" s="167">
        <f t="shared" si="12"/>
        <v>2038</v>
      </c>
      <c r="C106" s="168">
        <f t="shared" si="17"/>
        <v>0</v>
      </c>
      <c r="D106" s="169">
        <f t="shared" si="17"/>
        <v>0</v>
      </c>
      <c r="E106" s="169">
        <f t="shared" si="17"/>
        <v>1</v>
      </c>
      <c r="F106" s="169">
        <f t="shared" si="17"/>
        <v>0</v>
      </c>
      <c r="G106" s="169">
        <f t="shared" si="17"/>
        <v>0</v>
      </c>
      <c r="H106" s="170">
        <f t="shared" si="18"/>
        <v>1</v>
      </c>
      <c r="I106" s="168">
        <f t="shared" si="19"/>
        <v>0</v>
      </c>
      <c r="J106" s="169">
        <f t="shared" si="19"/>
        <v>0</v>
      </c>
      <c r="K106" s="169">
        <f t="shared" si="19"/>
        <v>1</v>
      </c>
      <c r="L106" s="169">
        <f t="shared" si="19"/>
        <v>0</v>
      </c>
      <c r="M106" s="169">
        <f t="shared" si="19"/>
        <v>0</v>
      </c>
      <c r="N106" s="170">
        <f t="shared" si="20"/>
        <v>1</v>
      </c>
      <c r="O106" s="42"/>
      <c r="R106" s="165">
        <f t="shared" si="21"/>
        <v>1</v>
      </c>
      <c r="S106" s="166">
        <f t="shared" si="22"/>
        <v>1</v>
      </c>
    </row>
    <row r="107" spans="2:19" x14ac:dyDescent="0.25">
      <c r="B107" s="167">
        <f t="shared" si="12"/>
        <v>2039</v>
      </c>
      <c r="C107" s="168">
        <f t="shared" si="17"/>
        <v>0</v>
      </c>
      <c r="D107" s="169">
        <f t="shared" si="17"/>
        <v>0</v>
      </c>
      <c r="E107" s="169">
        <f t="shared" si="17"/>
        <v>1</v>
      </c>
      <c r="F107" s="169">
        <f t="shared" si="17"/>
        <v>0</v>
      </c>
      <c r="G107" s="169">
        <f t="shared" si="17"/>
        <v>0</v>
      </c>
      <c r="H107" s="170">
        <f t="shared" si="18"/>
        <v>1</v>
      </c>
      <c r="I107" s="168">
        <f t="shared" si="19"/>
        <v>0</v>
      </c>
      <c r="J107" s="169">
        <f t="shared" si="19"/>
        <v>0</v>
      </c>
      <c r="K107" s="169">
        <f t="shared" si="19"/>
        <v>1</v>
      </c>
      <c r="L107" s="169">
        <f t="shared" si="19"/>
        <v>0</v>
      </c>
      <c r="M107" s="169">
        <f t="shared" si="19"/>
        <v>0</v>
      </c>
      <c r="N107" s="170">
        <f t="shared" si="20"/>
        <v>1</v>
      </c>
      <c r="O107" s="42"/>
      <c r="R107" s="165">
        <f t="shared" si="21"/>
        <v>1</v>
      </c>
      <c r="S107" s="166">
        <f t="shared" si="22"/>
        <v>1</v>
      </c>
    </row>
    <row r="108" spans="2:19" ht="15.75" thickBot="1" x14ac:dyDescent="0.3">
      <c r="B108" s="171">
        <f t="shared" si="12"/>
        <v>2040</v>
      </c>
      <c r="C108" s="102">
        <f t="shared" si="17"/>
        <v>0</v>
      </c>
      <c r="D108" s="172">
        <f t="shared" si="17"/>
        <v>0</v>
      </c>
      <c r="E108" s="172">
        <f t="shared" si="17"/>
        <v>1</v>
      </c>
      <c r="F108" s="172">
        <f t="shared" si="17"/>
        <v>0</v>
      </c>
      <c r="G108" s="172">
        <f t="shared" si="17"/>
        <v>0</v>
      </c>
      <c r="H108" s="173">
        <f t="shared" si="18"/>
        <v>1</v>
      </c>
      <c r="I108" s="102">
        <f t="shared" si="19"/>
        <v>0</v>
      </c>
      <c r="J108" s="172">
        <f t="shared" si="19"/>
        <v>0</v>
      </c>
      <c r="K108" s="172">
        <f t="shared" si="19"/>
        <v>1</v>
      </c>
      <c r="L108" s="172">
        <f t="shared" si="19"/>
        <v>0</v>
      </c>
      <c r="M108" s="172">
        <f t="shared" si="19"/>
        <v>0</v>
      </c>
      <c r="N108" s="173">
        <f t="shared" si="20"/>
        <v>1</v>
      </c>
      <c r="O108" s="55"/>
      <c r="R108" s="174">
        <f t="shared" si="21"/>
        <v>1</v>
      </c>
      <c r="S108" s="174">
        <f t="shared" si="22"/>
        <v>1</v>
      </c>
    </row>
    <row r="109" spans="2:19" x14ac:dyDescent="0.25">
      <c r="H109" s="92"/>
    </row>
    <row r="110" spans="2:19" x14ac:dyDescent="0.25">
      <c r="H110" s="92"/>
    </row>
  </sheetData>
  <mergeCells count="9">
    <mergeCell ref="N16:N17"/>
    <mergeCell ref="Q2:T2"/>
    <mergeCell ref="C9:H9"/>
    <mergeCell ref="I9:N9"/>
    <mergeCell ref="R10:R16"/>
    <mergeCell ref="S10:S16"/>
    <mergeCell ref="C15:H15"/>
    <mergeCell ref="I15:N15"/>
    <mergeCell ref="H16:H17"/>
  </mergeCells>
  <dataValidations count="3">
    <dataValidation type="list" allowBlank="1" showInputMessage="1" showErrorMessage="1"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mc:AlternateContent xmlns:x12ac="http://schemas.microsoft.com/office/spreadsheetml/2011/1/ac" xmlns:mc="http://schemas.openxmlformats.org/markup-compatibility/2006">
        <mc:Choice Requires="x12ac">
          <x12ac:list>"""1"""</x12ac:list>
        </mc:Choice>
        <mc:Fallback>
          <formula1>"""1"""</formula1>
        </mc:Fallback>
      </mc:AlternateContent>
    </dataValidation>
    <dataValidation type="decimal" allowBlank="1" showInputMessage="1" showErrorMessage="1" errorTitle="Error in % of waste to site type" error="Please enter a number between 0% and 100%" promptTitle="% of waste to site type" prompt="Please enter the percentage of waste going to this site type in this year" sqref="C18:G108 IY18:JC108 SU18:SY108 ACQ18:ACU108 AMM18:AMQ108 AWI18:AWM108 BGE18:BGI108 BQA18:BQE108 BZW18:CAA108 CJS18:CJW108 CTO18:CTS108 DDK18:DDO108 DNG18:DNK108 DXC18:DXG108 EGY18:EHC108 EQU18:EQY108 FAQ18:FAU108 FKM18:FKQ108 FUI18:FUM108 GEE18:GEI108 GOA18:GOE108 GXW18:GYA108 HHS18:HHW108 HRO18:HRS108 IBK18:IBO108 ILG18:ILK108 IVC18:IVG108 JEY18:JFC108 JOU18:JOY108 JYQ18:JYU108 KIM18:KIQ108 KSI18:KSM108 LCE18:LCI108 LMA18:LME108 LVW18:LWA108 MFS18:MFW108 MPO18:MPS108 MZK18:MZO108 NJG18:NJK108 NTC18:NTG108 OCY18:ODC108 OMU18:OMY108 OWQ18:OWU108 PGM18:PGQ108 PQI18:PQM108 QAE18:QAI108 QKA18:QKE108 QTW18:QUA108 RDS18:RDW108 RNO18:RNS108 RXK18:RXO108 SHG18:SHK108 SRC18:SRG108 TAY18:TBC108 TKU18:TKY108 TUQ18:TUU108 UEM18:UEQ108 UOI18:UOM108 UYE18:UYI108 VIA18:VIE108 VRW18:VSA108 WBS18:WBW108 WLO18:WLS108 WVK18:WVO108 C65564:G65644 IY65564:JC65644 SU65564:SY65644 ACQ65564:ACU65644 AMM65564:AMQ65644 AWI65564:AWM65644 BGE65564:BGI65644 BQA65564:BQE65644 BZW65564:CAA65644 CJS65564:CJW65644 CTO65564:CTS65644 DDK65564:DDO65644 DNG65564:DNK65644 DXC65564:DXG65644 EGY65564:EHC65644 EQU65564:EQY65644 FAQ65564:FAU65644 FKM65564:FKQ65644 FUI65564:FUM65644 GEE65564:GEI65644 GOA65564:GOE65644 GXW65564:GYA65644 HHS65564:HHW65644 HRO65564:HRS65644 IBK65564:IBO65644 ILG65564:ILK65644 IVC65564:IVG65644 JEY65564:JFC65644 JOU65564:JOY65644 JYQ65564:JYU65644 KIM65564:KIQ65644 KSI65564:KSM65644 LCE65564:LCI65644 LMA65564:LME65644 LVW65564:LWA65644 MFS65564:MFW65644 MPO65564:MPS65644 MZK65564:MZO65644 NJG65564:NJK65644 NTC65564:NTG65644 OCY65564:ODC65644 OMU65564:OMY65644 OWQ65564:OWU65644 PGM65564:PGQ65644 PQI65564:PQM65644 QAE65564:QAI65644 QKA65564:QKE65644 QTW65564:QUA65644 RDS65564:RDW65644 RNO65564:RNS65644 RXK65564:RXO65644 SHG65564:SHK65644 SRC65564:SRG65644 TAY65564:TBC65644 TKU65564:TKY65644 TUQ65564:TUU65644 UEM65564:UEQ65644 UOI65564:UOM65644 UYE65564:UYI65644 VIA65564:VIE65644 VRW65564:VSA65644 WBS65564:WBW65644 WLO65564:WLS65644 WVK65564:WVO65644 C131100:G131180 IY131100:JC131180 SU131100:SY131180 ACQ131100:ACU131180 AMM131100:AMQ131180 AWI131100:AWM131180 BGE131100:BGI131180 BQA131100:BQE131180 BZW131100:CAA131180 CJS131100:CJW131180 CTO131100:CTS131180 DDK131100:DDO131180 DNG131100:DNK131180 DXC131100:DXG131180 EGY131100:EHC131180 EQU131100:EQY131180 FAQ131100:FAU131180 FKM131100:FKQ131180 FUI131100:FUM131180 GEE131100:GEI131180 GOA131100:GOE131180 GXW131100:GYA131180 HHS131100:HHW131180 HRO131100:HRS131180 IBK131100:IBO131180 ILG131100:ILK131180 IVC131100:IVG131180 JEY131100:JFC131180 JOU131100:JOY131180 JYQ131100:JYU131180 KIM131100:KIQ131180 KSI131100:KSM131180 LCE131100:LCI131180 LMA131100:LME131180 LVW131100:LWA131180 MFS131100:MFW131180 MPO131100:MPS131180 MZK131100:MZO131180 NJG131100:NJK131180 NTC131100:NTG131180 OCY131100:ODC131180 OMU131100:OMY131180 OWQ131100:OWU131180 PGM131100:PGQ131180 PQI131100:PQM131180 QAE131100:QAI131180 QKA131100:QKE131180 QTW131100:QUA131180 RDS131100:RDW131180 RNO131100:RNS131180 RXK131100:RXO131180 SHG131100:SHK131180 SRC131100:SRG131180 TAY131100:TBC131180 TKU131100:TKY131180 TUQ131100:TUU131180 UEM131100:UEQ131180 UOI131100:UOM131180 UYE131100:UYI131180 VIA131100:VIE131180 VRW131100:VSA131180 WBS131100:WBW131180 WLO131100:WLS131180 WVK131100:WVO131180 C196636:G196716 IY196636:JC196716 SU196636:SY196716 ACQ196636:ACU196716 AMM196636:AMQ196716 AWI196636:AWM196716 BGE196636:BGI196716 BQA196636:BQE196716 BZW196636:CAA196716 CJS196636:CJW196716 CTO196636:CTS196716 DDK196636:DDO196716 DNG196636:DNK196716 DXC196636:DXG196716 EGY196636:EHC196716 EQU196636:EQY196716 FAQ196636:FAU196716 FKM196636:FKQ196716 FUI196636:FUM196716 GEE196636:GEI196716 GOA196636:GOE196716 GXW196636:GYA196716 HHS196636:HHW196716 HRO196636:HRS196716 IBK196636:IBO196716 ILG196636:ILK196716 IVC196636:IVG196716 JEY196636:JFC196716 JOU196636:JOY196716 JYQ196636:JYU196716 KIM196636:KIQ196716 KSI196636:KSM196716 LCE196636:LCI196716 LMA196636:LME196716 LVW196636:LWA196716 MFS196636:MFW196716 MPO196636:MPS196716 MZK196636:MZO196716 NJG196636:NJK196716 NTC196636:NTG196716 OCY196636:ODC196716 OMU196636:OMY196716 OWQ196636:OWU196716 PGM196636:PGQ196716 PQI196636:PQM196716 QAE196636:QAI196716 QKA196636:QKE196716 QTW196636:QUA196716 RDS196636:RDW196716 RNO196636:RNS196716 RXK196636:RXO196716 SHG196636:SHK196716 SRC196636:SRG196716 TAY196636:TBC196716 TKU196636:TKY196716 TUQ196636:TUU196716 UEM196636:UEQ196716 UOI196636:UOM196716 UYE196636:UYI196716 VIA196636:VIE196716 VRW196636:VSA196716 WBS196636:WBW196716 WLO196636:WLS196716 WVK196636:WVO196716 C262172:G262252 IY262172:JC262252 SU262172:SY262252 ACQ262172:ACU262252 AMM262172:AMQ262252 AWI262172:AWM262252 BGE262172:BGI262252 BQA262172:BQE262252 BZW262172:CAA262252 CJS262172:CJW262252 CTO262172:CTS262252 DDK262172:DDO262252 DNG262172:DNK262252 DXC262172:DXG262252 EGY262172:EHC262252 EQU262172:EQY262252 FAQ262172:FAU262252 FKM262172:FKQ262252 FUI262172:FUM262252 GEE262172:GEI262252 GOA262172:GOE262252 GXW262172:GYA262252 HHS262172:HHW262252 HRO262172:HRS262252 IBK262172:IBO262252 ILG262172:ILK262252 IVC262172:IVG262252 JEY262172:JFC262252 JOU262172:JOY262252 JYQ262172:JYU262252 KIM262172:KIQ262252 KSI262172:KSM262252 LCE262172:LCI262252 LMA262172:LME262252 LVW262172:LWA262252 MFS262172:MFW262252 MPO262172:MPS262252 MZK262172:MZO262252 NJG262172:NJK262252 NTC262172:NTG262252 OCY262172:ODC262252 OMU262172:OMY262252 OWQ262172:OWU262252 PGM262172:PGQ262252 PQI262172:PQM262252 QAE262172:QAI262252 QKA262172:QKE262252 QTW262172:QUA262252 RDS262172:RDW262252 RNO262172:RNS262252 RXK262172:RXO262252 SHG262172:SHK262252 SRC262172:SRG262252 TAY262172:TBC262252 TKU262172:TKY262252 TUQ262172:TUU262252 UEM262172:UEQ262252 UOI262172:UOM262252 UYE262172:UYI262252 VIA262172:VIE262252 VRW262172:VSA262252 WBS262172:WBW262252 WLO262172:WLS262252 WVK262172:WVO262252 C327708:G327788 IY327708:JC327788 SU327708:SY327788 ACQ327708:ACU327788 AMM327708:AMQ327788 AWI327708:AWM327788 BGE327708:BGI327788 BQA327708:BQE327788 BZW327708:CAA327788 CJS327708:CJW327788 CTO327708:CTS327788 DDK327708:DDO327788 DNG327708:DNK327788 DXC327708:DXG327788 EGY327708:EHC327788 EQU327708:EQY327788 FAQ327708:FAU327788 FKM327708:FKQ327788 FUI327708:FUM327788 GEE327708:GEI327788 GOA327708:GOE327788 GXW327708:GYA327788 HHS327708:HHW327788 HRO327708:HRS327788 IBK327708:IBO327788 ILG327708:ILK327788 IVC327708:IVG327788 JEY327708:JFC327788 JOU327708:JOY327788 JYQ327708:JYU327788 KIM327708:KIQ327788 KSI327708:KSM327788 LCE327708:LCI327788 LMA327708:LME327788 LVW327708:LWA327788 MFS327708:MFW327788 MPO327708:MPS327788 MZK327708:MZO327788 NJG327708:NJK327788 NTC327708:NTG327788 OCY327708:ODC327788 OMU327708:OMY327788 OWQ327708:OWU327788 PGM327708:PGQ327788 PQI327708:PQM327788 QAE327708:QAI327788 QKA327708:QKE327788 QTW327708:QUA327788 RDS327708:RDW327788 RNO327708:RNS327788 RXK327708:RXO327788 SHG327708:SHK327788 SRC327708:SRG327788 TAY327708:TBC327788 TKU327708:TKY327788 TUQ327708:TUU327788 UEM327708:UEQ327788 UOI327708:UOM327788 UYE327708:UYI327788 VIA327708:VIE327788 VRW327708:VSA327788 WBS327708:WBW327788 WLO327708:WLS327788 WVK327708:WVO327788 C393244:G393324 IY393244:JC393324 SU393244:SY393324 ACQ393244:ACU393324 AMM393244:AMQ393324 AWI393244:AWM393324 BGE393244:BGI393324 BQA393244:BQE393324 BZW393244:CAA393324 CJS393244:CJW393324 CTO393244:CTS393324 DDK393244:DDO393324 DNG393244:DNK393324 DXC393244:DXG393324 EGY393244:EHC393324 EQU393244:EQY393324 FAQ393244:FAU393324 FKM393244:FKQ393324 FUI393244:FUM393324 GEE393244:GEI393324 GOA393244:GOE393324 GXW393244:GYA393324 HHS393244:HHW393324 HRO393244:HRS393324 IBK393244:IBO393324 ILG393244:ILK393324 IVC393244:IVG393324 JEY393244:JFC393324 JOU393244:JOY393324 JYQ393244:JYU393324 KIM393244:KIQ393324 KSI393244:KSM393324 LCE393244:LCI393324 LMA393244:LME393324 LVW393244:LWA393324 MFS393244:MFW393324 MPO393244:MPS393324 MZK393244:MZO393324 NJG393244:NJK393324 NTC393244:NTG393324 OCY393244:ODC393324 OMU393244:OMY393324 OWQ393244:OWU393324 PGM393244:PGQ393324 PQI393244:PQM393324 QAE393244:QAI393324 QKA393244:QKE393324 QTW393244:QUA393324 RDS393244:RDW393324 RNO393244:RNS393324 RXK393244:RXO393324 SHG393244:SHK393324 SRC393244:SRG393324 TAY393244:TBC393324 TKU393244:TKY393324 TUQ393244:TUU393324 UEM393244:UEQ393324 UOI393244:UOM393324 UYE393244:UYI393324 VIA393244:VIE393324 VRW393244:VSA393324 WBS393244:WBW393324 WLO393244:WLS393324 WVK393244:WVO393324 C458780:G458860 IY458780:JC458860 SU458780:SY458860 ACQ458780:ACU458860 AMM458780:AMQ458860 AWI458780:AWM458860 BGE458780:BGI458860 BQA458780:BQE458860 BZW458780:CAA458860 CJS458780:CJW458860 CTO458780:CTS458860 DDK458780:DDO458860 DNG458780:DNK458860 DXC458780:DXG458860 EGY458780:EHC458860 EQU458780:EQY458860 FAQ458780:FAU458860 FKM458780:FKQ458860 FUI458780:FUM458860 GEE458780:GEI458860 GOA458780:GOE458860 GXW458780:GYA458860 HHS458780:HHW458860 HRO458780:HRS458860 IBK458780:IBO458860 ILG458780:ILK458860 IVC458780:IVG458860 JEY458780:JFC458860 JOU458780:JOY458860 JYQ458780:JYU458860 KIM458780:KIQ458860 KSI458780:KSM458860 LCE458780:LCI458860 LMA458780:LME458860 LVW458780:LWA458860 MFS458780:MFW458860 MPO458780:MPS458860 MZK458780:MZO458860 NJG458780:NJK458860 NTC458780:NTG458860 OCY458780:ODC458860 OMU458780:OMY458860 OWQ458780:OWU458860 PGM458780:PGQ458860 PQI458780:PQM458860 QAE458780:QAI458860 QKA458780:QKE458860 QTW458780:QUA458860 RDS458780:RDW458860 RNO458780:RNS458860 RXK458780:RXO458860 SHG458780:SHK458860 SRC458780:SRG458860 TAY458780:TBC458860 TKU458780:TKY458860 TUQ458780:TUU458860 UEM458780:UEQ458860 UOI458780:UOM458860 UYE458780:UYI458860 VIA458780:VIE458860 VRW458780:VSA458860 WBS458780:WBW458860 WLO458780:WLS458860 WVK458780:WVO458860 C524316:G524396 IY524316:JC524396 SU524316:SY524396 ACQ524316:ACU524396 AMM524316:AMQ524396 AWI524316:AWM524396 BGE524316:BGI524396 BQA524316:BQE524396 BZW524316:CAA524396 CJS524316:CJW524396 CTO524316:CTS524396 DDK524316:DDO524396 DNG524316:DNK524396 DXC524316:DXG524396 EGY524316:EHC524396 EQU524316:EQY524396 FAQ524316:FAU524396 FKM524316:FKQ524396 FUI524316:FUM524396 GEE524316:GEI524396 GOA524316:GOE524396 GXW524316:GYA524396 HHS524316:HHW524396 HRO524316:HRS524396 IBK524316:IBO524396 ILG524316:ILK524396 IVC524316:IVG524396 JEY524316:JFC524396 JOU524316:JOY524396 JYQ524316:JYU524396 KIM524316:KIQ524396 KSI524316:KSM524396 LCE524316:LCI524396 LMA524316:LME524396 LVW524316:LWA524396 MFS524316:MFW524396 MPO524316:MPS524396 MZK524316:MZO524396 NJG524316:NJK524396 NTC524316:NTG524396 OCY524316:ODC524396 OMU524316:OMY524396 OWQ524316:OWU524396 PGM524316:PGQ524396 PQI524316:PQM524396 QAE524316:QAI524396 QKA524316:QKE524396 QTW524316:QUA524396 RDS524316:RDW524396 RNO524316:RNS524396 RXK524316:RXO524396 SHG524316:SHK524396 SRC524316:SRG524396 TAY524316:TBC524396 TKU524316:TKY524396 TUQ524316:TUU524396 UEM524316:UEQ524396 UOI524316:UOM524396 UYE524316:UYI524396 VIA524316:VIE524396 VRW524316:VSA524396 WBS524316:WBW524396 WLO524316:WLS524396 WVK524316:WVO524396 C589852:G589932 IY589852:JC589932 SU589852:SY589932 ACQ589852:ACU589932 AMM589852:AMQ589932 AWI589852:AWM589932 BGE589852:BGI589932 BQA589852:BQE589932 BZW589852:CAA589932 CJS589852:CJW589932 CTO589852:CTS589932 DDK589852:DDO589932 DNG589852:DNK589932 DXC589852:DXG589932 EGY589852:EHC589932 EQU589852:EQY589932 FAQ589852:FAU589932 FKM589852:FKQ589932 FUI589852:FUM589932 GEE589852:GEI589932 GOA589852:GOE589932 GXW589852:GYA589932 HHS589852:HHW589932 HRO589852:HRS589932 IBK589852:IBO589932 ILG589852:ILK589932 IVC589852:IVG589932 JEY589852:JFC589932 JOU589852:JOY589932 JYQ589852:JYU589932 KIM589852:KIQ589932 KSI589852:KSM589932 LCE589852:LCI589932 LMA589852:LME589932 LVW589852:LWA589932 MFS589852:MFW589932 MPO589852:MPS589932 MZK589852:MZO589932 NJG589852:NJK589932 NTC589852:NTG589932 OCY589852:ODC589932 OMU589852:OMY589932 OWQ589852:OWU589932 PGM589852:PGQ589932 PQI589852:PQM589932 QAE589852:QAI589932 QKA589852:QKE589932 QTW589852:QUA589932 RDS589852:RDW589932 RNO589852:RNS589932 RXK589852:RXO589932 SHG589852:SHK589932 SRC589852:SRG589932 TAY589852:TBC589932 TKU589852:TKY589932 TUQ589852:TUU589932 UEM589852:UEQ589932 UOI589852:UOM589932 UYE589852:UYI589932 VIA589852:VIE589932 VRW589852:VSA589932 WBS589852:WBW589932 WLO589852:WLS589932 WVK589852:WVO589932 C655388:G655468 IY655388:JC655468 SU655388:SY655468 ACQ655388:ACU655468 AMM655388:AMQ655468 AWI655388:AWM655468 BGE655388:BGI655468 BQA655388:BQE655468 BZW655388:CAA655468 CJS655388:CJW655468 CTO655388:CTS655468 DDK655388:DDO655468 DNG655388:DNK655468 DXC655388:DXG655468 EGY655388:EHC655468 EQU655388:EQY655468 FAQ655388:FAU655468 FKM655388:FKQ655468 FUI655388:FUM655468 GEE655388:GEI655468 GOA655388:GOE655468 GXW655388:GYA655468 HHS655388:HHW655468 HRO655388:HRS655468 IBK655388:IBO655468 ILG655388:ILK655468 IVC655388:IVG655468 JEY655388:JFC655468 JOU655388:JOY655468 JYQ655388:JYU655468 KIM655388:KIQ655468 KSI655388:KSM655468 LCE655388:LCI655468 LMA655388:LME655468 LVW655388:LWA655468 MFS655388:MFW655468 MPO655388:MPS655468 MZK655388:MZO655468 NJG655388:NJK655468 NTC655388:NTG655468 OCY655388:ODC655468 OMU655388:OMY655468 OWQ655388:OWU655468 PGM655388:PGQ655468 PQI655388:PQM655468 QAE655388:QAI655468 QKA655388:QKE655468 QTW655388:QUA655468 RDS655388:RDW655468 RNO655388:RNS655468 RXK655388:RXO655468 SHG655388:SHK655468 SRC655388:SRG655468 TAY655388:TBC655468 TKU655388:TKY655468 TUQ655388:TUU655468 UEM655388:UEQ655468 UOI655388:UOM655468 UYE655388:UYI655468 VIA655388:VIE655468 VRW655388:VSA655468 WBS655388:WBW655468 WLO655388:WLS655468 WVK655388:WVO655468 C720924:G721004 IY720924:JC721004 SU720924:SY721004 ACQ720924:ACU721004 AMM720924:AMQ721004 AWI720924:AWM721004 BGE720924:BGI721004 BQA720924:BQE721004 BZW720924:CAA721004 CJS720924:CJW721004 CTO720924:CTS721004 DDK720924:DDO721004 DNG720924:DNK721004 DXC720924:DXG721004 EGY720924:EHC721004 EQU720924:EQY721004 FAQ720924:FAU721004 FKM720924:FKQ721004 FUI720924:FUM721004 GEE720924:GEI721004 GOA720924:GOE721004 GXW720924:GYA721004 HHS720924:HHW721004 HRO720924:HRS721004 IBK720924:IBO721004 ILG720924:ILK721004 IVC720924:IVG721004 JEY720924:JFC721004 JOU720924:JOY721004 JYQ720924:JYU721004 KIM720924:KIQ721004 KSI720924:KSM721004 LCE720924:LCI721004 LMA720924:LME721004 LVW720924:LWA721004 MFS720924:MFW721004 MPO720924:MPS721004 MZK720924:MZO721004 NJG720924:NJK721004 NTC720924:NTG721004 OCY720924:ODC721004 OMU720924:OMY721004 OWQ720924:OWU721004 PGM720924:PGQ721004 PQI720924:PQM721004 QAE720924:QAI721004 QKA720924:QKE721004 QTW720924:QUA721004 RDS720924:RDW721004 RNO720924:RNS721004 RXK720924:RXO721004 SHG720924:SHK721004 SRC720924:SRG721004 TAY720924:TBC721004 TKU720924:TKY721004 TUQ720924:TUU721004 UEM720924:UEQ721004 UOI720924:UOM721004 UYE720924:UYI721004 VIA720924:VIE721004 VRW720924:VSA721004 WBS720924:WBW721004 WLO720924:WLS721004 WVK720924:WVO721004 C786460:G786540 IY786460:JC786540 SU786460:SY786540 ACQ786460:ACU786540 AMM786460:AMQ786540 AWI786460:AWM786540 BGE786460:BGI786540 BQA786460:BQE786540 BZW786460:CAA786540 CJS786460:CJW786540 CTO786460:CTS786540 DDK786460:DDO786540 DNG786460:DNK786540 DXC786460:DXG786540 EGY786460:EHC786540 EQU786460:EQY786540 FAQ786460:FAU786540 FKM786460:FKQ786540 FUI786460:FUM786540 GEE786460:GEI786540 GOA786460:GOE786540 GXW786460:GYA786540 HHS786460:HHW786540 HRO786460:HRS786540 IBK786460:IBO786540 ILG786460:ILK786540 IVC786460:IVG786540 JEY786460:JFC786540 JOU786460:JOY786540 JYQ786460:JYU786540 KIM786460:KIQ786540 KSI786460:KSM786540 LCE786460:LCI786540 LMA786460:LME786540 LVW786460:LWA786540 MFS786460:MFW786540 MPO786460:MPS786540 MZK786460:MZO786540 NJG786460:NJK786540 NTC786460:NTG786540 OCY786460:ODC786540 OMU786460:OMY786540 OWQ786460:OWU786540 PGM786460:PGQ786540 PQI786460:PQM786540 QAE786460:QAI786540 QKA786460:QKE786540 QTW786460:QUA786540 RDS786460:RDW786540 RNO786460:RNS786540 RXK786460:RXO786540 SHG786460:SHK786540 SRC786460:SRG786540 TAY786460:TBC786540 TKU786460:TKY786540 TUQ786460:TUU786540 UEM786460:UEQ786540 UOI786460:UOM786540 UYE786460:UYI786540 VIA786460:VIE786540 VRW786460:VSA786540 WBS786460:WBW786540 WLO786460:WLS786540 WVK786460:WVO786540 C851996:G852076 IY851996:JC852076 SU851996:SY852076 ACQ851996:ACU852076 AMM851996:AMQ852076 AWI851996:AWM852076 BGE851996:BGI852076 BQA851996:BQE852076 BZW851996:CAA852076 CJS851996:CJW852076 CTO851996:CTS852076 DDK851996:DDO852076 DNG851996:DNK852076 DXC851996:DXG852076 EGY851996:EHC852076 EQU851996:EQY852076 FAQ851996:FAU852076 FKM851996:FKQ852076 FUI851996:FUM852076 GEE851996:GEI852076 GOA851996:GOE852076 GXW851996:GYA852076 HHS851996:HHW852076 HRO851996:HRS852076 IBK851996:IBO852076 ILG851996:ILK852076 IVC851996:IVG852076 JEY851996:JFC852076 JOU851996:JOY852076 JYQ851996:JYU852076 KIM851996:KIQ852076 KSI851996:KSM852076 LCE851996:LCI852076 LMA851996:LME852076 LVW851996:LWA852076 MFS851996:MFW852076 MPO851996:MPS852076 MZK851996:MZO852076 NJG851996:NJK852076 NTC851996:NTG852076 OCY851996:ODC852076 OMU851996:OMY852076 OWQ851996:OWU852076 PGM851996:PGQ852076 PQI851996:PQM852076 QAE851996:QAI852076 QKA851996:QKE852076 QTW851996:QUA852076 RDS851996:RDW852076 RNO851996:RNS852076 RXK851996:RXO852076 SHG851996:SHK852076 SRC851996:SRG852076 TAY851996:TBC852076 TKU851996:TKY852076 TUQ851996:TUU852076 UEM851996:UEQ852076 UOI851996:UOM852076 UYE851996:UYI852076 VIA851996:VIE852076 VRW851996:VSA852076 WBS851996:WBW852076 WLO851996:WLS852076 WVK851996:WVO852076 C917532:G917612 IY917532:JC917612 SU917532:SY917612 ACQ917532:ACU917612 AMM917532:AMQ917612 AWI917532:AWM917612 BGE917532:BGI917612 BQA917532:BQE917612 BZW917532:CAA917612 CJS917532:CJW917612 CTO917532:CTS917612 DDK917532:DDO917612 DNG917532:DNK917612 DXC917532:DXG917612 EGY917532:EHC917612 EQU917532:EQY917612 FAQ917532:FAU917612 FKM917532:FKQ917612 FUI917532:FUM917612 GEE917532:GEI917612 GOA917532:GOE917612 GXW917532:GYA917612 HHS917532:HHW917612 HRO917532:HRS917612 IBK917532:IBO917612 ILG917532:ILK917612 IVC917532:IVG917612 JEY917532:JFC917612 JOU917532:JOY917612 JYQ917532:JYU917612 KIM917532:KIQ917612 KSI917532:KSM917612 LCE917532:LCI917612 LMA917532:LME917612 LVW917532:LWA917612 MFS917532:MFW917612 MPO917532:MPS917612 MZK917532:MZO917612 NJG917532:NJK917612 NTC917532:NTG917612 OCY917532:ODC917612 OMU917532:OMY917612 OWQ917532:OWU917612 PGM917532:PGQ917612 PQI917532:PQM917612 QAE917532:QAI917612 QKA917532:QKE917612 QTW917532:QUA917612 RDS917532:RDW917612 RNO917532:RNS917612 RXK917532:RXO917612 SHG917532:SHK917612 SRC917532:SRG917612 TAY917532:TBC917612 TKU917532:TKY917612 TUQ917532:TUU917612 UEM917532:UEQ917612 UOI917532:UOM917612 UYE917532:UYI917612 VIA917532:VIE917612 VRW917532:VSA917612 WBS917532:WBW917612 WLO917532:WLS917612 WVK917532:WVO917612 C983068:G983148 IY983068:JC983148 SU983068:SY983148 ACQ983068:ACU983148 AMM983068:AMQ983148 AWI983068:AWM983148 BGE983068:BGI983148 BQA983068:BQE983148 BZW983068:CAA983148 CJS983068:CJW983148 CTO983068:CTS983148 DDK983068:DDO983148 DNG983068:DNK983148 DXC983068:DXG983148 EGY983068:EHC983148 EQU983068:EQY983148 FAQ983068:FAU983148 FKM983068:FKQ983148 FUI983068:FUM983148 GEE983068:GEI983148 GOA983068:GOE983148 GXW983068:GYA983148 HHS983068:HHW983148 HRO983068:HRS983148 IBK983068:IBO983148 ILG983068:ILK983148 IVC983068:IVG983148 JEY983068:JFC983148 JOU983068:JOY983148 JYQ983068:JYU983148 KIM983068:KIQ983148 KSI983068:KSM983148 LCE983068:LCI983148 LMA983068:LME983148 LVW983068:LWA983148 MFS983068:MFW983148 MPO983068:MPS983148 MZK983068:MZO983148 NJG983068:NJK983148 NTC983068:NTG983148 OCY983068:ODC983148 OMU983068:OMY983148 OWQ983068:OWU983148 PGM983068:PGQ983148 PQI983068:PQM983148 QAE983068:QAI983148 QKA983068:QKE983148 QTW983068:QUA983148 RDS983068:RDW983148 RNO983068:RNS983148 RXK983068:RXO983148 SHG983068:SHK983148 SRC983068:SRG983148 TAY983068:TBC983148 TKU983068:TKY983148 TUQ983068:TUU983148 UEM983068:UEQ983148 UOI983068:UOM983148 UYE983068:UYI983148 VIA983068:VIE983148 VRW983068:VSA983148 WBS983068:WBW983148 WLO983068:WLS983148 WVK983068:WVO983148 I18:M108 JE18:JI108 TA18:TE108 ACW18:ADA108 AMS18:AMW108 AWO18:AWS108 BGK18:BGO108 BQG18:BQK108 CAC18:CAG108 CJY18:CKC108 CTU18:CTY108 DDQ18:DDU108 DNM18:DNQ108 DXI18:DXM108 EHE18:EHI108 ERA18:ERE108 FAW18:FBA108 FKS18:FKW108 FUO18:FUS108 GEK18:GEO108 GOG18:GOK108 GYC18:GYG108 HHY18:HIC108 HRU18:HRY108 IBQ18:IBU108 ILM18:ILQ108 IVI18:IVM108 JFE18:JFI108 JPA18:JPE108 JYW18:JZA108 KIS18:KIW108 KSO18:KSS108 LCK18:LCO108 LMG18:LMK108 LWC18:LWG108 MFY18:MGC108 MPU18:MPY108 MZQ18:MZU108 NJM18:NJQ108 NTI18:NTM108 ODE18:ODI108 ONA18:ONE108 OWW18:OXA108 PGS18:PGW108 PQO18:PQS108 QAK18:QAO108 QKG18:QKK108 QUC18:QUG108 RDY18:REC108 RNU18:RNY108 RXQ18:RXU108 SHM18:SHQ108 SRI18:SRM108 TBE18:TBI108 TLA18:TLE108 TUW18:TVA108 UES18:UEW108 UOO18:UOS108 UYK18:UYO108 VIG18:VIK108 VSC18:VSG108 WBY18:WCC108 WLU18:WLY108 WVQ18:WVU108 I65564:M65644 JE65564:JI65644 TA65564:TE65644 ACW65564:ADA65644 AMS65564:AMW65644 AWO65564:AWS65644 BGK65564:BGO65644 BQG65564:BQK65644 CAC65564:CAG65644 CJY65564:CKC65644 CTU65564:CTY65644 DDQ65564:DDU65644 DNM65564:DNQ65644 DXI65564:DXM65644 EHE65564:EHI65644 ERA65564:ERE65644 FAW65564:FBA65644 FKS65564:FKW65644 FUO65564:FUS65644 GEK65564:GEO65644 GOG65564:GOK65644 GYC65564:GYG65644 HHY65564:HIC65644 HRU65564:HRY65644 IBQ65564:IBU65644 ILM65564:ILQ65644 IVI65564:IVM65644 JFE65564:JFI65644 JPA65564:JPE65644 JYW65564:JZA65644 KIS65564:KIW65644 KSO65564:KSS65644 LCK65564:LCO65644 LMG65564:LMK65644 LWC65564:LWG65644 MFY65564:MGC65644 MPU65564:MPY65644 MZQ65564:MZU65644 NJM65564:NJQ65644 NTI65564:NTM65644 ODE65564:ODI65644 ONA65564:ONE65644 OWW65564:OXA65644 PGS65564:PGW65644 PQO65564:PQS65644 QAK65564:QAO65644 QKG65564:QKK65644 QUC65564:QUG65644 RDY65564:REC65644 RNU65564:RNY65644 RXQ65564:RXU65644 SHM65564:SHQ65644 SRI65564:SRM65644 TBE65564:TBI65644 TLA65564:TLE65644 TUW65564:TVA65644 UES65564:UEW65644 UOO65564:UOS65644 UYK65564:UYO65644 VIG65564:VIK65644 VSC65564:VSG65644 WBY65564:WCC65644 WLU65564:WLY65644 WVQ65564:WVU65644 I131100:M131180 JE131100:JI131180 TA131100:TE131180 ACW131100:ADA131180 AMS131100:AMW131180 AWO131100:AWS131180 BGK131100:BGO131180 BQG131100:BQK131180 CAC131100:CAG131180 CJY131100:CKC131180 CTU131100:CTY131180 DDQ131100:DDU131180 DNM131100:DNQ131180 DXI131100:DXM131180 EHE131100:EHI131180 ERA131100:ERE131180 FAW131100:FBA131180 FKS131100:FKW131180 FUO131100:FUS131180 GEK131100:GEO131180 GOG131100:GOK131180 GYC131100:GYG131180 HHY131100:HIC131180 HRU131100:HRY131180 IBQ131100:IBU131180 ILM131100:ILQ131180 IVI131100:IVM131180 JFE131100:JFI131180 JPA131100:JPE131180 JYW131100:JZA131180 KIS131100:KIW131180 KSO131100:KSS131180 LCK131100:LCO131180 LMG131100:LMK131180 LWC131100:LWG131180 MFY131100:MGC131180 MPU131100:MPY131180 MZQ131100:MZU131180 NJM131100:NJQ131180 NTI131100:NTM131180 ODE131100:ODI131180 ONA131100:ONE131180 OWW131100:OXA131180 PGS131100:PGW131180 PQO131100:PQS131180 QAK131100:QAO131180 QKG131100:QKK131180 QUC131100:QUG131180 RDY131100:REC131180 RNU131100:RNY131180 RXQ131100:RXU131180 SHM131100:SHQ131180 SRI131100:SRM131180 TBE131100:TBI131180 TLA131100:TLE131180 TUW131100:TVA131180 UES131100:UEW131180 UOO131100:UOS131180 UYK131100:UYO131180 VIG131100:VIK131180 VSC131100:VSG131180 WBY131100:WCC131180 WLU131100:WLY131180 WVQ131100:WVU131180 I196636:M196716 JE196636:JI196716 TA196636:TE196716 ACW196636:ADA196716 AMS196636:AMW196716 AWO196636:AWS196716 BGK196636:BGO196716 BQG196636:BQK196716 CAC196636:CAG196716 CJY196636:CKC196716 CTU196636:CTY196716 DDQ196636:DDU196716 DNM196636:DNQ196716 DXI196636:DXM196716 EHE196636:EHI196716 ERA196636:ERE196716 FAW196636:FBA196716 FKS196636:FKW196716 FUO196636:FUS196716 GEK196636:GEO196716 GOG196636:GOK196716 GYC196636:GYG196716 HHY196636:HIC196716 HRU196636:HRY196716 IBQ196636:IBU196716 ILM196636:ILQ196716 IVI196636:IVM196716 JFE196636:JFI196716 JPA196636:JPE196716 JYW196636:JZA196716 KIS196636:KIW196716 KSO196636:KSS196716 LCK196636:LCO196716 LMG196636:LMK196716 LWC196636:LWG196716 MFY196636:MGC196716 MPU196636:MPY196716 MZQ196636:MZU196716 NJM196636:NJQ196716 NTI196636:NTM196716 ODE196636:ODI196716 ONA196636:ONE196716 OWW196636:OXA196716 PGS196636:PGW196716 PQO196636:PQS196716 QAK196636:QAO196716 QKG196636:QKK196716 QUC196636:QUG196716 RDY196636:REC196716 RNU196636:RNY196716 RXQ196636:RXU196716 SHM196636:SHQ196716 SRI196636:SRM196716 TBE196636:TBI196716 TLA196636:TLE196716 TUW196636:TVA196716 UES196636:UEW196716 UOO196636:UOS196716 UYK196636:UYO196716 VIG196636:VIK196716 VSC196636:VSG196716 WBY196636:WCC196716 WLU196636:WLY196716 WVQ196636:WVU196716 I262172:M262252 JE262172:JI262252 TA262172:TE262252 ACW262172:ADA262252 AMS262172:AMW262252 AWO262172:AWS262252 BGK262172:BGO262252 BQG262172:BQK262252 CAC262172:CAG262252 CJY262172:CKC262252 CTU262172:CTY262252 DDQ262172:DDU262252 DNM262172:DNQ262252 DXI262172:DXM262252 EHE262172:EHI262252 ERA262172:ERE262252 FAW262172:FBA262252 FKS262172:FKW262252 FUO262172:FUS262252 GEK262172:GEO262252 GOG262172:GOK262252 GYC262172:GYG262252 HHY262172:HIC262252 HRU262172:HRY262252 IBQ262172:IBU262252 ILM262172:ILQ262252 IVI262172:IVM262252 JFE262172:JFI262252 JPA262172:JPE262252 JYW262172:JZA262252 KIS262172:KIW262252 KSO262172:KSS262252 LCK262172:LCO262252 LMG262172:LMK262252 LWC262172:LWG262252 MFY262172:MGC262252 MPU262172:MPY262252 MZQ262172:MZU262252 NJM262172:NJQ262252 NTI262172:NTM262252 ODE262172:ODI262252 ONA262172:ONE262252 OWW262172:OXA262252 PGS262172:PGW262252 PQO262172:PQS262252 QAK262172:QAO262252 QKG262172:QKK262252 QUC262172:QUG262252 RDY262172:REC262252 RNU262172:RNY262252 RXQ262172:RXU262252 SHM262172:SHQ262252 SRI262172:SRM262252 TBE262172:TBI262252 TLA262172:TLE262252 TUW262172:TVA262252 UES262172:UEW262252 UOO262172:UOS262252 UYK262172:UYO262252 VIG262172:VIK262252 VSC262172:VSG262252 WBY262172:WCC262252 WLU262172:WLY262252 WVQ262172:WVU262252 I327708:M327788 JE327708:JI327788 TA327708:TE327788 ACW327708:ADA327788 AMS327708:AMW327788 AWO327708:AWS327788 BGK327708:BGO327788 BQG327708:BQK327788 CAC327708:CAG327788 CJY327708:CKC327788 CTU327708:CTY327788 DDQ327708:DDU327788 DNM327708:DNQ327788 DXI327708:DXM327788 EHE327708:EHI327788 ERA327708:ERE327788 FAW327708:FBA327788 FKS327708:FKW327788 FUO327708:FUS327788 GEK327708:GEO327788 GOG327708:GOK327788 GYC327708:GYG327788 HHY327708:HIC327788 HRU327708:HRY327788 IBQ327708:IBU327788 ILM327708:ILQ327788 IVI327708:IVM327788 JFE327708:JFI327788 JPA327708:JPE327788 JYW327708:JZA327788 KIS327708:KIW327788 KSO327708:KSS327788 LCK327708:LCO327788 LMG327708:LMK327788 LWC327708:LWG327788 MFY327708:MGC327788 MPU327708:MPY327788 MZQ327708:MZU327788 NJM327708:NJQ327788 NTI327708:NTM327788 ODE327708:ODI327788 ONA327708:ONE327788 OWW327708:OXA327788 PGS327708:PGW327788 PQO327708:PQS327788 QAK327708:QAO327788 QKG327708:QKK327788 QUC327708:QUG327788 RDY327708:REC327788 RNU327708:RNY327788 RXQ327708:RXU327788 SHM327708:SHQ327788 SRI327708:SRM327788 TBE327708:TBI327788 TLA327708:TLE327788 TUW327708:TVA327788 UES327708:UEW327788 UOO327708:UOS327788 UYK327708:UYO327788 VIG327708:VIK327788 VSC327708:VSG327788 WBY327708:WCC327788 WLU327708:WLY327788 WVQ327708:WVU327788 I393244:M393324 JE393244:JI393324 TA393244:TE393324 ACW393244:ADA393324 AMS393244:AMW393324 AWO393244:AWS393324 BGK393244:BGO393324 BQG393244:BQK393324 CAC393244:CAG393324 CJY393244:CKC393324 CTU393244:CTY393324 DDQ393244:DDU393324 DNM393244:DNQ393324 DXI393244:DXM393324 EHE393244:EHI393324 ERA393244:ERE393324 FAW393244:FBA393324 FKS393244:FKW393324 FUO393244:FUS393324 GEK393244:GEO393324 GOG393244:GOK393324 GYC393244:GYG393324 HHY393244:HIC393324 HRU393244:HRY393324 IBQ393244:IBU393324 ILM393244:ILQ393324 IVI393244:IVM393324 JFE393244:JFI393324 JPA393244:JPE393324 JYW393244:JZA393324 KIS393244:KIW393324 KSO393244:KSS393324 LCK393244:LCO393324 LMG393244:LMK393324 LWC393244:LWG393324 MFY393244:MGC393324 MPU393244:MPY393324 MZQ393244:MZU393324 NJM393244:NJQ393324 NTI393244:NTM393324 ODE393244:ODI393324 ONA393244:ONE393324 OWW393244:OXA393324 PGS393244:PGW393324 PQO393244:PQS393324 QAK393244:QAO393324 QKG393244:QKK393324 QUC393244:QUG393324 RDY393244:REC393324 RNU393244:RNY393324 RXQ393244:RXU393324 SHM393244:SHQ393324 SRI393244:SRM393324 TBE393244:TBI393324 TLA393244:TLE393324 TUW393244:TVA393324 UES393244:UEW393324 UOO393244:UOS393324 UYK393244:UYO393324 VIG393244:VIK393324 VSC393244:VSG393324 WBY393244:WCC393324 WLU393244:WLY393324 WVQ393244:WVU393324 I458780:M458860 JE458780:JI458860 TA458780:TE458860 ACW458780:ADA458860 AMS458780:AMW458860 AWO458780:AWS458860 BGK458780:BGO458860 BQG458780:BQK458860 CAC458780:CAG458860 CJY458780:CKC458860 CTU458780:CTY458860 DDQ458780:DDU458860 DNM458780:DNQ458860 DXI458780:DXM458860 EHE458780:EHI458860 ERA458780:ERE458860 FAW458780:FBA458860 FKS458780:FKW458860 FUO458780:FUS458860 GEK458780:GEO458860 GOG458780:GOK458860 GYC458780:GYG458860 HHY458780:HIC458860 HRU458780:HRY458860 IBQ458780:IBU458860 ILM458780:ILQ458860 IVI458780:IVM458860 JFE458780:JFI458860 JPA458780:JPE458860 JYW458780:JZA458860 KIS458780:KIW458860 KSO458780:KSS458860 LCK458780:LCO458860 LMG458780:LMK458860 LWC458780:LWG458860 MFY458780:MGC458860 MPU458780:MPY458860 MZQ458780:MZU458860 NJM458780:NJQ458860 NTI458780:NTM458860 ODE458780:ODI458860 ONA458780:ONE458860 OWW458780:OXA458860 PGS458780:PGW458860 PQO458780:PQS458860 QAK458780:QAO458860 QKG458780:QKK458860 QUC458780:QUG458860 RDY458780:REC458860 RNU458780:RNY458860 RXQ458780:RXU458860 SHM458780:SHQ458860 SRI458780:SRM458860 TBE458780:TBI458860 TLA458780:TLE458860 TUW458780:TVA458860 UES458780:UEW458860 UOO458780:UOS458860 UYK458780:UYO458860 VIG458780:VIK458860 VSC458780:VSG458860 WBY458780:WCC458860 WLU458780:WLY458860 WVQ458780:WVU458860 I524316:M524396 JE524316:JI524396 TA524316:TE524396 ACW524316:ADA524396 AMS524316:AMW524396 AWO524316:AWS524396 BGK524316:BGO524396 BQG524316:BQK524396 CAC524316:CAG524396 CJY524316:CKC524396 CTU524316:CTY524396 DDQ524316:DDU524396 DNM524316:DNQ524396 DXI524316:DXM524396 EHE524316:EHI524396 ERA524316:ERE524396 FAW524316:FBA524396 FKS524316:FKW524396 FUO524316:FUS524396 GEK524316:GEO524396 GOG524316:GOK524396 GYC524316:GYG524396 HHY524316:HIC524396 HRU524316:HRY524396 IBQ524316:IBU524396 ILM524316:ILQ524396 IVI524316:IVM524396 JFE524316:JFI524396 JPA524316:JPE524396 JYW524316:JZA524396 KIS524316:KIW524396 KSO524316:KSS524396 LCK524316:LCO524396 LMG524316:LMK524396 LWC524316:LWG524396 MFY524316:MGC524396 MPU524316:MPY524396 MZQ524316:MZU524396 NJM524316:NJQ524396 NTI524316:NTM524396 ODE524316:ODI524396 ONA524316:ONE524396 OWW524316:OXA524396 PGS524316:PGW524396 PQO524316:PQS524396 QAK524316:QAO524396 QKG524316:QKK524396 QUC524316:QUG524396 RDY524316:REC524396 RNU524316:RNY524396 RXQ524316:RXU524396 SHM524316:SHQ524396 SRI524316:SRM524396 TBE524316:TBI524396 TLA524316:TLE524396 TUW524316:TVA524396 UES524316:UEW524396 UOO524316:UOS524396 UYK524316:UYO524396 VIG524316:VIK524396 VSC524316:VSG524396 WBY524316:WCC524396 WLU524316:WLY524396 WVQ524316:WVU524396 I589852:M589932 JE589852:JI589932 TA589852:TE589932 ACW589852:ADA589932 AMS589852:AMW589932 AWO589852:AWS589932 BGK589852:BGO589932 BQG589852:BQK589932 CAC589852:CAG589932 CJY589852:CKC589932 CTU589852:CTY589932 DDQ589852:DDU589932 DNM589852:DNQ589932 DXI589852:DXM589932 EHE589852:EHI589932 ERA589852:ERE589932 FAW589852:FBA589932 FKS589852:FKW589932 FUO589852:FUS589932 GEK589852:GEO589932 GOG589852:GOK589932 GYC589852:GYG589932 HHY589852:HIC589932 HRU589852:HRY589932 IBQ589852:IBU589932 ILM589852:ILQ589932 IVI589852:IVM589932 JFE589852:JFI589932 JPA589852:JPE589932 JYW589852:JZA589932 KIS589852:KIW589932 KSO589852:KSS589932 LCK589852:LCO589932 LMG589852:LMK589932 LWC589852:LWG589932 MFY589852:MGC589932 MPU589852:MPY589932 MZQ589852:MZU589932 NJM589852:NJQ589932 NTI589852:NTM589932 ODE589852:ODI589932 ONA589852:ONE589932 OWW589852:OXA589932 PGS589852:PGW589932 PQO589852:PQS589932 QAK589852:QAO589932 QKG589852:QKK589932 QUC589852:QUG589932 RDY589852:REC589932 RNU589852:RNY589932 RXQ589852:RXU589932 SHM589852:SHQ589932 SRI589852:SRM589932 TBE589852:TBI589932 TLA589852:TLE589932 TUW589852:TVA589932 UES589852:UEW589932 UOO589852:UOS589932 UYK589852:UYO589932 VIG589852:VIK589932 VSC589852:VSG589932 WBY589852:WCC589932 WLU589852:WLY589932 WVQ589852:WVU589932 I655388:M655468 JE655388:JI655468 TA655388:TE655468 ACW655388:ADA655468 AMS655388:AMW655468 AWO655388:AWS655468 BGK655388:BGO655468 BQG655388:BQK655468 CAC655388:CAG655468 CJY655388:CKC655468 CTU655388:CTY655468 DDQ655388:DDU655468 DNM655388:DNQ655468 DXI655388:DXM655468 EHE655388:EHI655468 ERA655388:ERE655468 FAW655388:FBA655468 FKS655388:FKW655468 FUO655388:FUS655468 GEK655388:GEO655468 GOG655388:GOK655468 GYC655388:GYG655468 HHY655388:HIC655468 HRU655388:HRY655468 IBQ655388:IBU655468 ILM655388:ILQ655468 IVI655388:IVM655468 JFE655388:JFI655468 JPA655388:JPE655468 JYW655388:JZA655468 KIS655388:KIW655468 KSO655388:KSS655468 LCK655388:LCO655468 LMG655388:LMK655468 LWC655388:LWG655468 MFY655388:MGC655468 MPU655388:MPY655468 MZQ655388:MZU655468 NJM655388:NJQ655468 NTI655388:NTM655468 ODE655388:ODI655468 ONA655388:ONE655468 OWW655388:OXA655468 PGS655388:PGW655468 PQO655388:PQS655468 QAK655388:QAO655468 QKG655388:QKK655468 QUC655388:QUG655468 RDY655388:REC655468 RNU655388:RNY655468 RXQ655388:RXU655468 SHM655388:SHQ655468 SRI655388:SRM655468 TBE655388:TBI655468 TLA655388:TLE655468 TUW655388:TVA655468 UES655388:UEW655468 UOO655388:UOS655468 UYK655388:UYO655468 VIG655388:VIK655468 VSC655388:VSG655468 WBY655388:WCC655468 WLU655388:WLY655468 WVQ655388:WVU655468 I720924:M721004 JE720924:JI721004 TA720924:TE721004 ACW720924:ADA721004 AMS720924:AMW721004 AWO720924:AWS721004 BGK720924:BGO721004 BQG720924:BQK721004 CAC720924:CAG721004 CJY720924:CKC721004 CTU720924:CTY721004 DDQ720924:DDU721004 DNM720924:DNQ721004 DXI720924:DXM721004 EHE720924:EHI721004 ERA720924:ERE721004 FAW720924:FBA721004 FKS720924:FKW721004 FUO720924:FUS721004 GEK720924:GEO721004 GOG720924:GOK721004 GYC720924:GYG721004 HHY720924:HIC721004 HRU720924:HRY721004 IBQ720924:IBU721004 ILM720924:ILQ721004 IVI720924:IVM721004 JFE720924:JFI721004 JPA720924:JPE721004 JYW720924:JZA721004 KIS720924:KIW721004 KSO720924:KSS721004 LCK720924:LCO721004 LMG720924:LMK721004 LWC720924:LWG721004 MFY720924:MGC721004 MPU720924:MPY721004 MZQ720924:MZU721004 NJM720924:NJQ721004 NTI720924:NTM721004 ODE720924:ODI721004 ONA720924:ONE721004 OWW720924:OXA721004 PGS720924:PGW721004 PQO720924:PQS721004 QAK720924:QAO721004 QKG720924:QKK721004 QUC720924:QUG721004 RDY720924:REC721004 RNU720924:RNY721004 RXQ720924:RXU721004 SHM720924:SHQ721004 SRI720924:SRM721004 TBE720924:TBI721004 TLA720924:TLE721004 TUW720924:TVA721004 UES720924:UEW721004 UOO720924:UOS721004 UYK720924:UYO721004 VIG720924:VIK721004 VSC720924:VSG721004 WBY720924:WCC721004 WLU720924:WLY721004 WVQ720924:WVU721004 I786460:M786540 JE786460:JI786540 TA786460:TE786540 ACW786460:ADA786540 AMS786460:AMW786540 AWO786460:AWS786540 BGK786460:BGO786540 BQG786460:BQK786540 CAC786460:CAG786540 CJY786460:CKC786540 CTU786460:CTY786540 DDQ786460:DDU786540 DNM786460:DNQ786540 DXI786460:DXM786540 EHE786460:EHI786540 ERA786460:ERE786540 FAW786460:FBA786540 FKS786460:FKW786540 FUO786460:FUS786540 GEK786460:GEO786540 GOG786460:GOK786540 GYC786460:GYG786540 HHY786460:HIC786540 HRU786460:HRY786540 IBQ786460:IBU786540 ILM786460:ILQ786540 IVI786460:IVM786540 JFE786460:JFI786540 JPA786460:JPE786540 JYW786460:JZA786540 KIS786460:KIW786540 KSO786460:KSS786540 LCK786460:LCO786540 LMG786460:LMK786540 LWC786460:LWG786540 MFY786460:MGC786540 MPU786460:MPY786540 MZQ786460:MZU786540 NJM786460:NJQ786540 NTI786460:NTM786540 ODE786460:ODI786540 ONA786460:ONE786540 OWW786460:OXA786540 PGS786460:PGW786540 PQO786460:PQS786540 QAK786460:QAO786540 QKG786460:QKK786540 QUC786460:QUG786540 RDY786460:REC786540 RNU786460:RNY786540 RXQ786460:RXU786540 SHM786460:SHQ786540 SRI786460:SRM786540 TBE786460:TBI786540 TLA786460:TLE786540 TUW786460:TVA786540 UES786460:UEW786540 UOO786460:UOS786540 UYK786460:UYO786540 VIG786460:VIK786540 VSC786460:VSG786540 WBY786460:WCC786540 WLU786460:WLY786540 WVQ786460:WVU786540 I851996:M852076 JE851996:JI852076 TA851996:TE852076 ACW851996:ADA852076 AMS851996:AMW852076 AWO851996:AWS852076 BGK851996:BGO852076 BQG851996:BQK852076 CAC851996:CAG852076 CJY851996:CKC852076 CTU851996:CTY852076 DDQ851996:DDU852076 DNM851996:DNQ852076 DXI851996:DXM852076 EHE851996:EHI852076 ERA851996:ERE852076 FAW851996:FBA852076 FKS851996:FKW852076 FUO851996:FUS852076 GEK851996:GEO852076 GOG851996:GOK852076 GYC851996:GYG852076 HHY851996:HIC852076 HRU851996:HRY852076 IBQ851996:IBU852076 ILM851996:ILQ852076 IVI851996:IVM852076 JFE851996:JFI852076 JPA851996:JPE852076 JYW851996:JZA852076 KIS851996:KIW852076 KSO851996:KSS852076 LCK851996:LCO852076 LMG851996:LMK852076 LWC851996:LWG852076 MFY851996:MGC852076 MPU851996:MPY852076 MZQ851996:MZU852076 NJM851996:NJQ852076 NTI851996:NTM852076 ODE851996:ODI852076 ONA851996:ONE852076 OWW851996:OXA852076 PGS851996:PGW852076 PQO851996:PQS852076 QAK851996:QAO852076 QKG851996:QKK852076 QUC851996:QUG852076 RDY851996:REC852076 RNU851996:RNY852076 RXQ851996:RXU852076 SHM851996:SHQ852076 SRI851996:SRM852076 TBE851996:TBI852076 TLA851996:TLE852076 TUW851996:TVA852076 UES851996:UEW852076 UOO851996:UOS852076 UYK851996:UYO852076 VIG851996:VIK852076 VSC851996:VSG852076 WBY851996:WCC852076 WLU851996:WLY852076 WVQ851996:WVU852076 I917532:M917612 JE917532:JI917612 TA917532:TE917612 ACW917532:ADA917612 AMS917532:AMW917612 AWO917532:AWS917612 BGK917532:BGO917612 BQG917532:BQK917612 CAC917532:CAG917612 CJY917532:CKC917612 CTU917532:CTY917612 DDQ917532:DDU917612 DNM917532:DNQ917612 DXI917532:DXM917612 EHE917532:EHI917612 ERA917532:ERE917612 FAW917532:FBA917612 FKS917532:FKW917612 FUO917532:FUS917612 GEK917532:GEO917612 GOG917532:GOK917612 GYC917532:GYG917612 HHY917532:HIC917612 HRU917532:HRY917612 IBQ917532:IBU917612 ILM917532:ILQ917612 IVI917532:IVM917612 JFE917532:JFI917612 JPA917532:JPE917612 JYW917532:JZA917612 KIS917532:KIW917612 KSO917532:KSS917612 LCK917532:LCO917612 LMG917532:LMK917612 LWC917532:LWG917612 MFY917532:MGC917612 MPU917532:MPY917612 MZQ917532:MZU917612 NJM917532:NJQ917612 NTI917532:NTM917612 ODE917532:ODI917612 ONA917532:ONE917612 OWW917532:OXA917612 PGS917532:PGW917612 PQO917532:PQS917612 QAK917532:QAO917612 QKG917532:QKK917612 QUC917532:QUG917612 RDY917532:REC917612 RNU917532:RNY917612 RXQ917532:RXU917612 SHM917532:SHQ917612 SRI917532:SRM917612 TBE917532:TBI917612 TLA917532:TLE917612 TUW917532:TVA917612 UES917532:UEW917612 UOO917532:UOS917612 UYK917532:UYO917612 VIG917532:VIK917612 VSC917532:VSG917612 WBY917532:WCC917612 WLU917532:WLY917612 WVQ917532:WVU917612 I983068:M983148 JE983068:JI983148 TA983068:TE983148 ACW983068:ADA983148 AMS983068:AMW983148 AWO983068:AWS983148 BGK983068:BGO983148 BQG983068:BQK983148 CAC983068:CAG983148 CJY983068:CKC983148 CTU983068:CTY983148 DDQ983068:DDU983148 DNM983068:DNQ983148 DXI983068:DXM983148 EHE983068:EHI983148 ERA983068:ERE983148 FAW983068:FBA983148 FKS983068:FKW983148 FUO983068:FUS983148 GEK983068:GEO983148 GOG983068:GOK983148 GYC983068:GYG983148 HHY983068:HIC983148 HRU983068:HRY983148 IBQ983068:IBU983148 ILM983068:ILQ983148 IVI983068:IVM983148 JFE983068:JFI983148 JPA983068:JPE983148 JYW983068:JZA983148 KIS983068:KIW983148 KSO983068:KSS983148 LCK983068:LCO983148 LMG983068:LMK983148 LWC983068:LWG983148 MFY983068:MGC983148 MPU983068:MPY983148 MZQ983068:MZU983148 NJM983068:NJQ983148 NTI983068:NTM983148 ODE983068:ODI983148 ONA983068:ONE983148 OWW983068:OXA983148 PGS983068:PGW983148 PQO983068:PQS983148 QAK983068:QAO983148 QKG983068:QKK983148 QUC983068:QUG983148 RDY983068:REC983148 RNU983068:RNY983148 RXQ983068:RXU983148 SHM983068:SHQ983148 SRI983068:SRM983148 TBE983068:TBI983148 TLA983068:TLE983148 TUW983068:TVA983148 UES983068:UEW983148 UOO983068:UOS983148 UYK983068:UYO983148 VIG983068:VIK983148 VSC983068:VSG983148 WBY983068:WCC983148 WLU983068:WLY983148 WVQ983068:WVU983148">
      <formula1>0</formula1>
      <formula2>1</formula2>
    </dataValidation>
    <dataValidation type="decimal" allowBlank="1" showInputMessage="1" showErrorMessage="1" errorTitle="Error in MCF" error="Please enter a number between 0 and 1. Guidance can be found in the 2006 IPCC Guidelines." promptTitle="MCF" prompt="Enter a fraction between 0 and 1" sqref="C13:G13 IY13:JC13 SU13:SY13 ACQ13:ACU13 AMM13:AMQ13 AWI13:AWM13 BGE13:BGI13 BQA13:BQE13 BZW13:CAA13 CJS13:CJW13 CTO13:CTS13 DDK13:DDO13 DNG13:DNK13 DXC13:DXG13 EGY13:EHC13 EQU13:EQY13 FAQ13:FAU13 FKM13:FKQ13 FUI13:FUM13 GEE13:GEI13 GOA13:GOE13 GXW13:GYA13 HHS13:HHW13 HRO13:HRS13 IBK13:IBO13 ILG13:ILK13 IVC13:IVG13 JEY13:JFC13 JOU13:JOY13 JYQ13:JYU13 KIM13:KIQ13 KSI13:KSM13 LCE13:LCI13 LMA13:LME13 LVW13:LWA13 MFS13:MFW13 MPO13:MPS13 MZK13:MZO13 NJG13:NJK13 NTC13:NTG13 OCY13:ODC13 OMU13:OMY13 OWQ13:OWU13 PGM13:PGQ13 PQI13:PQM13 QAE13:QAI13 QKA13:QKE13 QTW13:QUA13 RDS13:RDW13 RNO13:RNS13 RXK13:RXO13 SHG13:SHK13 SRC13:SRG13 TAY13:TBC13 TKU13:TKY13 TUQ13:TUU13 UEM13:UEQ13 UOI13:UOM13 UYE13:UYI13 VIA13:VIE13 VRW13:VSA13 WBS13:WBW13 WLO13:WLS13 WVK13:WVO1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I13:M13 JE13:JI13 TA13:TE13 ACW13:ADA13 AMS13:AMW13 AWO13:AWS13 BGK13:BGO13 BQG13:BQK13 CAC13:CAG13 CJY13:CKC13 CTU13:CTY13 DDQ13:DDU13 DNM13:DNQ13 DXI13:DXM13 EHE13:EHI13 ERA13:ERE13 FAW13:FBA13 FKS13:FKW13 FUO13:FUS13 GEK13:GEO13 GOG13:GOK13 GYC13:GYG13 HHY13:HIC13 HRU13:HRY13 IBQ13:IBU13 ILM13:ILQ13 IVI13:IVM13 JFE13:JFI13 JPA13:JPE13 JYW13:JZA13 KIS13:KIW13 KSO13:KSS13 LCK13:LCO13 LMG13:LMK13 LWC13:LWG13 MFY13:MGC13 MPU13:MPY13 MZQ13:MZU13 NJM13:NJQ13 NTI13:NTM13 ODE13:ODI13 ONA13:ONE13 OWW13:OXA13 PGS13:PGW13 PQO13:PQS13 QAK13:QAO13 QKG13:QKK13 QUC13:QUG13 RDY13:REC13 RNU13:RNY13 RXQ13:RXU13 SHM13:SHQ13 SRI13:SRM13 TBE13:TBI13 TLA13:TLE13 TUW13:TVA13 UES13:UEW13 UOO13:UOS13 UYK13:UYO13 VIG13:VIK13 VSC13:VSG13 WBY13:WCC13 WLU13:WLY13 WVQ13:WVU13 I65559:M65559 JE65559:JI65559 TA65559:TE65559 ACW65559:ADA65559 AMS65559:AMW65559 AWO65559:AWS65559 BGK65559:BGO65559 BQG65559:BQK65559 CAC65559:CAG65559 CJY65559:CKC65559 CTU65559:CTY65559 DDQ65559:DDU65559 DNM65559:DNQ65559 DXI65559:DXM65559 EHE65559:EHI65559 ERA65559:ERE65559 FAW65559:FBA65559 FKS65559:FKW65559 FUO65559:FUS65559 GEK65559:GEO65559 GOG65559:GOK65559 GYC65559:GYG65559 HHY65559:HIC65559 HRU65559:HRY65559 IBQ65559:IBU65559 ILM65559:ILQ65559 IVI65559:IVM65559 JFE65559:JFI65559 JPA65559:JPE65559 JYW65559:JZA65559 KIS65559:KIW65559 KSO65559:KSS65559 LCK65559:LCO65559 LMG65559:LMK65559 LWC65559:LWG65559 MFY65559:MGC65559 MPU65559:MPY65559 MZQ65559:MZU65559 NJM65559:NJQ65559 NTI65559:NTM65559 ODE65559:ODI65559 ONA65559:ONE65559 OWW65559:OXA65559 PGS65559:PGW65559 PQO65559:PQS65559 QAK65559:QAO65559 QKG65559:QKK65559 QUC65559:QUG65559 RDY65559:REC65559 RNU65559:RNY65559 RXQ65559:RXU65559 SHM65559:SHQ65559 SRI65559:SRM65559 TBE65559:TBI65559 TLA65559:TLE65559 TUW65559:TVA65559 UES65559:UEW65559 UOO65559:UOS65559 UYK65559:UYO65559 VIG65559:VIK65559 VSC65559:VSG65559 WBY65559:WCC65559 WLU65559:WLY65559 WVQ65559:WVU65559 I131095:M131095 JE131095:JI131095 TA131095:TE131095 ACW131095:ADA131095 AMS131095:AMW131095 AWO131095:AWS131095 BGK131095:BGO131095 BQG131095:BQK131095 CAC131095:CAG131095 CJY131095:CKC131095 CTU131095:CTY131095 DDQ131095:DDU131095 DNM131095:DNQ131095 DXI131095:DXM131095 EHE131095:EHI131095 ERA131095:ERE131095 FAW131095:FBA131095 FKS131095:FKW131095 FUO131095:FUS131095 GEK131095:GEO131095 GOG131095:GOK131095 GYC131095:GYG131095 HHY131095:HIC131095 HRU131095:HRY131095 IBQ131095:IBU131095 ILM131095:ILQ131095 IVI131095:IVM131095 JFE131095:JFI131095 JPA131095:JPE131095 JYW131095:JZA131095 KIS131095:KIW131095 KSO131095:KSS131095 LCK131095:LCO131095 LMG131095:LMK131095 LWC131095:LWG131095 MFY131095:MGC131095 MPU131095:MPY131095 MZQ131095:MZU131095 NJM131095:NJQ131095 NTI131095:NTM131095 ODE131095:ODI131095 ONA131095:ONE131095 OWW131095:OXA131095 PGS131095:PGW131095 PQO131095:PQS131095 QAK131095:QAO131095 QKG131095:QKK131095 QUC131095:QUG131095 RDY131095:REC131095 RNU131095:RNY131095 RXQ131095:RXU131095 SHM131095:SHQ131095 SRI131095:SRM131095 TBE131095:TBI131095 TLA131095:TLE131095 TUW131095:TVA131095 UES131095:UEW131095 UOO131095:UOS131095 UYK131095:UYO131095 VIG131095:VIK131095 VSC131095:VSG131095 WBY131095:WCC131095 WLU131095:WLY131095 WVQ131095:WVU131095 I196631:M196631 JE196631:JI196631 TA196631:TE196631 ACW196631:ADA196631 AMS196631:AMW196631 AWO196631:AWS196631 BGK196631:BGO196631 BQG196631:BQK196631 CAC196631:CAG196631 CJY196631:CKC196631 CTU196631:CTY196631 DDQ196631:DDU196631 DNM196631:DNQ196631 DXI196631:DXM196631 EHE196631:EHI196631 ERA196631:ERE196631 FAW196631:FBA196631 FKS196631:FKW196631 FUO196631:FUS196631 GEK196631:GEO196631 GOG196631:GOK196631 GYC196631:GYG196631 HHY196631:HIC196631 HRU196631:HRY196631 IBQ196631:IBU196631 ILM196631:ILQ196631 IVI196631:IVM196631 JFE196631:JFI196631 JPA196631:JPE196631 JYW196631:JZA196631 KIS196631:KIW196631 KSO196631:KSS196631 LCK196631:LCO196631 LMG196631:LMK196631 LWC196631:LWG196631 MFY196631:MGC196631 MPU196631:MPY196631 MZQ196631:MZU196631 NJM196631:NJQ196631 NTI196631:NTM196631 ODE196631:ODI196631 ONA196631:ONE196631 OWW196631:OXA196631 PGS196631:PGW196631 PQO196631:PQS196631 QAK196631:QAO196631 QKG196631:QKK196631 QUC196631:QUG196631 RDY196631:REC196631 RNU196631:RNY196631 RXQ196631:RXU196631 SHM196631:SHQ196631 SRI196631:SRM196631 TBE196631:TBI196631 TLA196631:TLE196631 TUW196631:TVA196631 UES196631:UEW196631 UOO196631:UOS196631 UYK196631:UYO196631 VIG196631:VIK196631 VSC196631:VSG196631 WBY196631:WCC196631 WLU196631:WLY196631 WVQ196631:WVU196631 I262167:M262167 JE262167:JI262167 TA262167:TE262167 ACW262167:ADA262167 AMS262167:AMW262167 AWO262167:AWS262167 BGK262167:BGO262167 BQG262167:BQK262167 CAC262167:CAG262167 CJY262167:CKC262167 CTU262167:CTY262167 DDQ262167:DDU262167 DNM262167:DNQ262167 DXI262167:DXM262167 EHE262167:EHI262167 ERA262167:ERE262167 FAW262167:FBA262167 FKS262167:FKW262167 FUO262167:FUS262167 GEK262167:GEO262167 GOG262167:GOK262167 GYC262167:GYG262167 HHY262167:HIC262167 HRU262167:HRY262167 IBQ262167:IBU262167 ILM262167:ILQ262167 IVI262167:IVM262167 JFE262167:JFI262167 JPA262167:JPE262167 JYW262167:JZA262167 KIS262167:KIW262167 KSO262167:KSS262167 LCK262167:LCO262167 LMG262167:LMK262167 LWC262167:LWG262167 MFY262167:MGC262167 MPU262167:MPY262167 MZQ262167:MZU262167 NJM262167:NJQ262167 NTI262167:NTM262167 ODE262167:ODI262167 ONA262167:ONE262167 OWW262167:OXA262167 PGS262167:PGW262167 PQO262167:PQS262167 QAK262167:QAO262167 QKG262167:QKK262167 QUC262167:QUG262167 RDY262167:REC262167 RNU262167:RNY262167 RXQ262167:RXU262167 SHM262167:SHQ262167 SRI262167:SRM262167 TBE262167:TBI262167 TLA262167:TLE262167 TUW262167:TVA262167 UES262167:UEW262167 UOO262167:UOS262167 UYK262167:UYO262167 VIG262167:VIK262167 VSC262167:VSG262167 WBY262167:WCC262167 WLU262167:WLY262167 WVQ262167:WVU262167 I327703:M327703 JE327703:JI327703 TA327703:TE327703 ACW327703:ADA327703 AMS327703:AMW327703 AWO327703:AWS327703 BGK327703:BGO327703 BQG327703:BQK327703 CAC327703:CAG327703 CJY327703:CKC327703 CTU327703:CTY327703 DDQ327703:DDU327703 DNM327703:DNQ327703 DXI327703:DXM327703 EHE327703:EHI327703 ERA327703:ERE327703 FAW327703:FBA327703 FKS327703:FKW327703 FUO327703:FUS327703 GEK327703:GEO327703 GOG327703:GOK327703 GYC327703:GYG327703 HHY327703:HIC327703 HRU327703:HRY327703 IBQ327703:IBU327703 ILM327703:ILQ327703 IVI327703:IVM327703 JFE327703:JFI327703 JPA327703:JPE327703 JYW327703:JZA327703 KIS327703:KIW327703 KSO327703:KSS327703 LCK327703:LCO327703 LMG327703:LMK327703 LWC327703:LWG327703 MFY327703:MGC327703 MPU327703:MPY327703 MZQ327703:MZU327703 NJM327703:NJQ327703 NTI327703:NTM327703 ODE327703:ODI327703 ONA327703:ONE327703 OWW327703:OXA327703 PGS327703:PGW327703 PQO327703:PQS327703 QAK327703:QAO327703 QKG327703:QKK327703 QUC327703:QUG327703 RDY327703:REC327703 RNU327703:RNY327703 RXQ327703:RXU327703 SHM327703:SHQ327703 SRI327703:SRM327703 TBE327703:TBI327703 TLA327703:TLE327703 TUW327703:TVA327703 UES327703:UEW327703 UOO327703:UOS327703 UYK327703:UYO327703 VIG327703:VIK327703 VSC327703:VSG327703 WBY327703:WCC327703 WLU327703:WLY327703 WVQ327703:WVU327703 I393239:M393239 JE393239:JI393239 TA393239:TE393239 ACW393239:ADA393239 AMS393239:AMW393239 AWO393239:AWS393239 BGK393239:BGO393239 BQG393239:BQK393239 CAC393239:CAG393239 CJY393239:CKC393239 CTU393239:CTY393239 DDQ393239:DDU393239 DNM393239:DNQ393239 DXI393239:DXM393239 EHE393239:EHI393239 ERA393239:ERE393239 FAW393239:FBA393239 FKS393239:FKW393239 FUO393239:FUS393239 GEK393239:GEO393239 GOG393239:GOK393239 GYC393239:GYG393239 HHY393239:HIC393239 HRU393239:HRY393239 IBQ393239:IBU393239 ILM393239:ILQ393239 IVI393239:IVM393239 JFE393239:JFI393239 JPA393239:JPE393239 JYW393239:JZA393239 KIS393239:KIW393239 KSO393239:KSS393239 LCK393239:LCO393239 LMG393239:LMK393239 LWC393239:LWG393239 MFY393239:MGC393239 MPU393239:MPY393239 MZQ393239:MZU393239 NJM393239:NJQ393239 NTI393239:NTM393239 ODE393239:ODI393239 ONA393239:ONE393239 OWW393239:OXA393239 PGS393239:PGW393239 PQO393239:PQS393239 QAK393239:QAO393239 QKG393239:QKK393239 QUC393239:QUG393239 RDY393239:REC393239 RNU393239:RNY393239 RXQ393239:RXU393239 SHM393239:SHQ393239 SRI393239:SRM393239 TBE393239:TBI393239 TLA393239:TLE393239 TUW393239:TVA393239 UES393239:UEW393239 UOO393239:UOS393239 UYK393239:UYO393239 VIG393239:VIK393239 VSC393239:VSG393239 WBY393239:WCC393239 WLU393239:WLY393239 WVQ393239:WVU393239 I458775:M458775 JE458775:JI458775 TA458775:TE458775 ACW458775:ADA458775 AMS458775:AMW458775 AWO458775:AWS458775 BGK458775:BGO458775 BQG458775:BQK458775 CAC458775:CAG458775 CJY458775:CKC458775 CTU458775:CTY458775 DDQ458775:DDU458775 DNM458775:DNQ458775 DXI458775:DXM458775 EHE458775:EHI458775 ERA458775:ERE458775 FAW458775:FBA458775 FKS458775:FKW458775 FUO458775:FUS458775 GEK458775:GEO458775 GOG458775:GOK458775 GYC458775:GYG458775 HHY458775:HIC458775 HRU458775:HRY458775 IBQ458775:IBU458775 ILM458775:ILQ458775 IVI458775:IVM458775 JFE458775:JFI458775 JPA458775:JPE458775 JYW458775:JZA458775 KIS458775:KIW458775 KSO458775:KSS458775 LCK458775:LCO458775 LMG458775:LMK458775 LWC458775:LWG458775 MFY458775:MGC458775 MPU458775:MPY458775 MZQ458775:MZU458775 NJM458775:NJQ458775 NTI458775:NTM458775 ODE458775:ODI458775 ONA458775:ONE458775 OWW458775:OXA458775 PGS458775:PGW458775 PQO458775:PQS458775 QAK458775:QAO458775 QKG458775:QKK458775 QUC458775:QUG458775 RDY458775:REC458775 RNU458775:RNY458775 RXQ458775:RXU458775 SHM458775:SHQ458775 SRI458775:SRM458775 TBE458775:TBI458775 TLA458775:TLE458775 TUW458775:TVA458775 UES458775:UEW458775 UOO458775:UOS458775 UYK458775:UYO458775 VIG458775:VIK458775 VSC458775:VSG458775 WBY458775:WCC458775 WLU458775:WLY458775 WVQ458775:WVU458775 I524311:M524311 JE524311:JI524311 TA524311:TE524311 ACW524311:ADA524311 AMS524311:AMW524311 AWO524311:AWS524311 BGK524311:BGO524311 BQG524311:BQK524311 CAC524311:CAG524311 CJY524311:CKC524311 CTU524311:CTY524311 DDQ524311:DDU524311 DNM524311:DNQ524311 DXI524311:DXM524311 EHE524311:EHI524311 ERA524311:ERE524311 FAW524311:FBA524311 FKS524311:FKW524311 FUO524311:FUS524311 GEK524311:GEO524311 GOG524311:GOK524311 GYC524311:GYG524311 HHY524311:HIC524311 HRU524311:HRY524311 IBQ524311:IBU524311 ILM524311:ILQ524311 IVI524311:IVM524311 JFE524311:JFI524311 JPA524311:JPE524311 JYW524311:JZA524311 KIS524311:KIW524311 KSO524311:KSS524311 LCK524311:LCO524311 LMG524311:LMK524311 LWC524311:LWG524311 MFY524311:MGC524311 MPU524311:MPY524311 MZQ524311:MZU524311 NJM524311:NJQ524311 NTI524311:NTM524311 ODE524311:ODI524311 ONA524311:ONE524311 OWW524311:OXA524311 PGS524311:PGW524311 PQO524311:PQS524311 QAK524311:QAO524311 QKG524311:QKK524311 QUC524311:QUG524311 RDY524311:REC524311 RNU524311:RNY524311 RXQ524311:RXU524311 SHM524311:SHQ524311 SRI524311:SRM524311 TBE524311:TBI524311 TLA524311:TLE524311 TUW524311:TVA524311 UES524311:UEW524311 UOO524311:UOS524311 UYK524311:UYO524311 VIG524311:VIK524311 VSC524311:VSG524311 WBY524311:WCC524311 WLU524311:WLY524311 WVQ524311:WVU524311 I589847:M589847 JE589847:JI589847 TA589847:TE589847 ACW589847:ADA589847 AMS589847:AMW589847 AWO589847:AWS589847 BGK589847:BGO589847 BQG589847:BQK589847 CAC589847:CAG589847 CJY589847:CKC589847 CTU589847:CTY589847 DDQ589847:DDU589847 DNM589847:DNQ589847 DXI589847:DXM589847 EHE589847:EHI589847 ERA589847:ERE589847 FAW589847:FBA589847 FKS589847:FKW589847 FUO589847:FUS589847 GEK589847:GEO589847 GOG589847:GOK589847 GYC589847:GYG589847 HHY589847:HIC589847 HRU589847:HRY589847 IBQ589847:IBU589847 ILM589847:ILQ589847 IVI589847:IVM589847 JFE589847:JFI589847 JPA589847:JPE589847 JYW589847:JZA589847 KIS589847:KIW589847 KSO589847:KSS589847 LCK589847:LCO589847 LMG589847:LMK589847 LWC589847:LWG589847 MFY589847:MGC589847 MPU589847:MPY589847 MZQ589847:MZU589847 NJM589847:NJQ589847 NTI589847:NTM589847 ODE589847:ODI589847 ONA589847:ONE589847 OWW589847:OXA589847 PGS589847:PGW589847 PQO589847:PQS589847 QAK589847:QAO589847 QKG589847:QKK589847 QUC589847:QUG589847 RDY589847:REC589847 RNU589847:RNY589847 RXQ589847:RXU589847 SHM589847:SHQ589847 SRI589847:SRM589847 TBE589847:TBI589847 TLA589847:TLE589847 TUW589847:TVA589847 UES589847:UEW589847 UOO589847:UOS589847 UYK589847:UYO589847 VIG589847:VIK589847 VSC589847:VSG589847 WBY589847:WCC589847 WLU589847:WLY589847 WVQ589847:WVU589847 I655383:M655383 JE655383:JI655383 TA655383:TE655383 ACW655383:ADA655383 AMS655383:AMW655383 AWO655383:AWS655383 BGK655383:BGO655383 BQG655383:BQK655383 CAC655383:CAG655383 CJY655383:CKC655383 CTU655383:CTY655383 DDQ655383:DDU655383 DNM655383:DNQ655383 DXI655383:DXM655383 EHE655383:EHI655383 ERA655383:ERE655383 FAW655383:FBA655383 FKS655383:FKW655383 FUO655383:FUS655383 GEK655383:GEO655383 GOG655383:GOK655383 GYC655383:GYG655383 HHY655383:HIC655383 HRU655383:HRY655383 IBQ655383:IBU655383 ILM655383:ILQ655383 IVI655383:IVM655383 JFE655383:JFI655383 JPA655383:JPE655383 JYW655383:JZA655383 KIS655383:KIW655383 KSO655383:KSS655383 LCK655383:LCO655383 LMG655383:LMK655383 LWC655383:LWG655383 MFY655383:MGC655383 MPU655383:MPY655383 MZQ655383:MZU655383 NJM655383:NJQ655383 NTI655383:NTM655383 ODE655383:ODI655383 ONA655383:ONE655383 OWW655383:OXA655383 PGS655383:PGW655383 PQO655383:PQS655383 QAK655383:QAO655383 QKG655383:QKK655383 QUC655383:QUG655383 RDY655383:REC655383 RNU655383:RNY655383 RXQ655383:RXU655383 SHM655383:SHQ655383 SRI655383:SRM655383 TBE655383:TBI655383 TLA655383:TLE655383 TUW655383:TVA655383 UES655383:UEW655383 UOO655383:UOS655383 UYK655383:UYO655383 VIG655383:VIK655383 VSC655383:VSG655383 WBY655383:WCC655383 WLU655383:WLY655383 WVQ655383:WVU655383 I720919:M720919 JE720919:JI720919 TA720919:TE720919 ACW720919:ADA720919 AMS720919:AMW720919 AWO720919:AWS720919 BGK720919:BGO720919 BQG720919:BQK720919 CAC720919:CAG720919 CJY720919:CKC720919 CTU720919:CTY720919 DDQ720919:DDU720919 DNM720919:DNQ720919 DXI720919:DXM720919 EHE720919:EHI720919 ERA720919:ERE720919 FAW720919:FBA720919 FKS720919:FKW720919 FUO720919:FUS720919 GEK720919:GEO720919 GOG720919:GOK720919 GYC720919:GYG720919 HHY720919:HIC720919 HRU720919:HRY720919 IBQ720919:IBU720919 ILM720919:ILQ720919 IVI720919:IVM720919 JFE720919:JFI720919 JPA720919:JPE720919 JYW720919:JZA720919 KIS720919:KIW720919 KSO720919:KSS720919 LCK720919:LCO720919 LMG720919:LMK720919 LWC720919:LWG720919 MFY720919:MGC720919 MPU720919:MPY720919 MZQ720919:MZU720919 NJM720919:NJQ720919 NTI720919:NTM720919 ODE720919:ODI720919 ONA720919:ONE720919 OWW720919:OXA720919 PGS720919:PGW720919 PQO720919:PQS720919 QAK720919:QAO720919 QKG720919:QKK720919 QUC720919:QUG720919 RDY720919:REC720919 RNU720919:RNY720919 RXQ720919:RXU720919 SHM720919:SHQ720919 SRI720919:SRM720919 TBE720919:TBI720919 TLA720919:TLE720919 TUW720919:TVA720919 UES720919:UEW720919 UOO720919:UOS720919 UYK720919:UYO720919 VIG720919:VIK720919 VSC720919:VSG720919 WBY720919:WCC720919 WLU720919:WLY720919 WVQ720919:WVU720919 I786455:M786455 JE786455:JI786455 TA786455:TE786455 ACW786455:ADA786455 AMS786455:AMW786455 AWO786455:AWS786455 BGK786455:BGO786455 BQG786455:BQK786455 CAC786455:CAG786455 CJY786455:CKC786455 CTU786455:CTY786455 DDQ786455:DDU786455 DNM786455:DNQ786455 DXI786455:DXM786455 EHE786455:EHI786455 ERA786455:ERE786455 FAW786455:FBA786455 FKS786455:FKW786455 FUO786455:FUS786455 GEK786455:GEO786455 GOG786455:GOK786455 GYC786455:GYG786455 HHY786455:HIC786455 HRU786455:HRY786455 IBQ786455:IBU786455 ILM786455:ILQ786455 IVI786455:IVM786455 JFE786455:JFI786455 JPA786455:JPE786455 JYW786455:JZA786455 KIS786455:KIW786455 KSO786455:KSS786455 LCK786455:LCO786455 LMG786455:LMK786455 LWC786455:LWG786455 MFY786455:MGC786455 MPU786455:MPY786455 MZQ786455:MZU786455 NJM786455:NJQ786455 NTI786455:NTM786455 ODE786455:ODI786455 ONA786455:ONE786455 OWW786455:OXA786455 PGS786455:PGW786455 PQO786455:PQS786455 QAK786455:QAO786455 QKG786455:QKK786455 QUC786455:QUG786455 RDY786455:REC786455 RNU786455:RNY786455 RXQ786455:RXU786455 SHM786455:SHQ786455 SRI786455:SRM786455 TBE786455:TBI786455 TLA786455:TLE786455 TUW786455:TVA786455 UES786455:UEW786455 UOO786455:UOS786455 UYK786455:UYO786455 VIG786455:VIK786455 VSC786455:VSG786455 WBY786455:WCC786455 WLU786455:WLY786455 WVQ786455:WVU786455 I851991:M851991 JE851991:JI851991 TA851991:TE851991 ACW851991:ADA851991 AMS851991:AMW851991 AWO851991:AWS851991 BGK851991:BGO851991 BQG851991:BQK851991 CAC851991:CAG851991 CJY851991:CKC851991 CTU851991:CTY851991 DDQ851991:DDU851991 DNM851991:DNQ851991 DXI851991:DXM851991 EHE851991:EHI851991 ERA851991:ERE851991 FAW851991:FBA851991 FKS851991:FKW851991 FUO851991:FUS851991 GEK851991:GEO851991 GOG851991:GOK851991 GYC851991:GYG851991 HHY851991:HIC851991 HRU851991:HRY851991 IBQ851991:IBU851991 ILM851991:ILQ851991 IVI851991:IVM851991 JFE851991:JFI851991 JPA851991:JPE851991 JYW851991:JZA851991 KIS851991:KIW851991 KSO851991:KSS851991 LCK851991:LCO851991 LMG851991:LMK851991 LWC851991:LWG851991 MFY851991:MGC851991 MPU851991:MPY851991 MZQ851991:MZU851991 NJM851991:NJQ851991 NTI851991:NTM851991 ODE851991:ODI851991 ONA851991:ONE851991 OWW851991:OXA851991 PGS851991:PGW851991 PQO851991:PQS851991 QAK851991:QAO851991 QKG851991:QKK851991 QUC851991:QUG851991 RDY851991:REC851991 RNU851991:RNY851991 RXQ851991:RXU851991 SHM851991:SHQ851991 SRI851991:SRM851991 TBE851991:TBI851991 TLA851991:TLE851991 TUW851991:TVA851991 UES851991:UEW851991 UOO851991:UOS851991 UYK851991:UYO851991 VIG851991:VIK851991 VSC851991:VSG851991 WBY851991:WCC851991 WLU851991:WLY851991 WVQ851991:WVU851991 I917527:M917527 JE917527:JI917527 TA917527:TE917527 ACW917527:ADA917527 AMS917527:AMW917527 AWO917527:AWS917527 BGK917527:BGO917527 BQG917527:BQK917527 CAC917527:CAG917527 CJY917527:CKC917527 CTU917527:CTY917527 DDQ917527:DDU917527 DNM917527:DNQ917527 DXI917527:DXM917527 EHE917527:EHI917527 ERA917527:ERE917527 FAW917527:FBA917527 FKS917527:FKW917527 FUO917527:FUS917527 GEK917527:GEO917527 GOG917527:GOK917527 GYC917527:GYG917527 HHY917527:HIC917527 HRU917527:HRY917527 IBQ917527:IBU917527 ILM917527:ILQ917527 IVI917527:IVM917527 JFE917527:JFI917527 JPA917527:JPE917527 JYW917527:JZA917527 KIS917527:KIW917527 KSO917527:KSS917527 LCK917527:LCO917527 LMG917527:LMK917527 LWC917527:LWG917527 MFY917527:MGC917527 MPU917527:MPY917527 MZQ917527:MZU917527 NJM917527:NJQ917527 NTI917527:NTM917527 ODE917527:ODI917527 ONA917527:ONE917527 OWW917527:OXA917527 PGS917527:PGW917527 PQO917527:PQS917527 QAK917527:QAO917527 QKG917527:QKK917527 QUC917527:QUG917527 RDY917527:REC917527 RNU917527:RNY917527 RXQ917527:RXU917527 SHM917527:SHQ917527 SRI917527:SRM917527 TBE917527:TBI917527 TLA917527:TLE917527 TUW917527:TVA917527 UES917527:UEW917527 UOO917527:UOS917527 UYK917527:UYO917527 VIG917527:VIK917527 VSC917527:VSG917527 WBY917527:WCC917527 WLU917527:WLY917527 WVQ917527:WVU917527 I983063:M983063 JE983063:JI983063 TA983063:TE983063 ACW983063:ADA983063 AMS983063:AMW983063 AWO983063:AWS983063 BGK983063:BGO983063 BQG983063:BQK983063 CAC983063:CAG983063 CJY983063:CKC983063 CTU983063:CTY983063 DDQ983063:DDU983063 DNM983063:DNQ983063 DXI983063:DXM983063 EHE983063:EHI983063 ERA983063:ERE983063 FAW983063:FBA983063 FKS983063:FKW983063 FUO983063:FUS983063 GEK983063:GEO983063 GOG983063:GOK983063 GYC983063:GYG983063 HHY983063:HIC983063 HRU983063:HRY983063 IBQ983063:IBU983063 ILM983063:ILQ983063 IVI983063:IVM983063 JFE983063:JFI983063 JPA983063:JPE983063 JYW983063:JZA983063 KIS983063:KIW983063 KSO983063:KSS983063 LCK983063:LCO983063 LMG983063:LMK983063 LWC983063:LWG983063 MFY983063:MGC983063 MPU983063:MPY983063 MZQ983063:MZU983063 NJM983063:NJQ983063 NTI983063:NTM983063 ODE983063:ODI983063 ONA983063:ONE983063 OWW983063:OXA983063 PGS983063:PGW983063 PQO983063:PQS983063 QAK983063:QAO983063 QKG983063:QKK983063 QUC983063:QUG983063 RDY983063:REC983063 RNU983063:RNY983063 RXQ983063:RXU983063 SHM983063:SHQ983063 SRI983063:SRM983063 TBE983063:TBI983063 TLA983063:TLE983063 TUW983063:TVA983063 UES983063:UEW983063 UOO983063:UOS983063 UYK983063:UYO983063 VIG983063:VIK983063 VSC983063:VSG983063 WBY983063:WCC983063 WLU983063:WLY983063 WVQ983063:WVU983063">
      <formula1>0</formula1>
      <formula2>1</formula2>
    </dataValidation>
  </dataValidation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FF00"/>
  </sheetPr>
  <dimension ref="B2:V102"/>
  <sheetViews>
    <sheetView workbookViewId="0"/>
  </sheetViews>
  <sheetFormatPr defaultColWidth="11.42578125" defaultRowHeight="15" x14ac:dyDescent="0.25"/>
  <cols>
    <col min="1" max="1" width="2.28515625" customWidth="1"/>
    <col min="2" max="2" width="6.28515625" customWidth="1"/>
    <col min="3" max="3" width="11.140625" customWidth="1"/>
    <col min="4" max="4" width="9.140625" customWidth="1"/>
    <col min="5" max="5" width="9.28515625" customWidth="1"/>
    <col min="6" max="6" width="7.42578125" customWidth="1"/>
    <col min="7" max="12" width="8" customWidth="1"/>
    <col min="13" max="13" width="8.5703125" customWidth="1"/>
    <col min="14" max="14" width="8.42578125" customWidth="1"/>
    <col min="15" max="15" width="3.85546875" customWidth="1"/>
    <col min="16" max="16" width="3.42578125" customWidth="1"/>
    <col min="17" max="19" width="11.42578125" customWidth="1"/>
    <col min="20" max="20" width="10.28515625" customWidth="1"/>
    <col min="21" max="21" width="9.7109375" customWidth="1"/>
    <col min="22" max="22" width="9.42578125" customWidth="1"/>
    <col min="257" max="257" width="2.28515625" customWidth="1"/>
    <col min="258" max="258" width="6.28515625" customWidth="1"/>
    <col min="259" max="259" width="11.140625" customWidth="1"/>
    <col min="260" max="260" width="9.140625" customWidth="1"/>
    <col min="261" max="261" width="9.28515625" customWidth="1"/>
    <col min="262" max="262" width="7.42578125" customWidth="1"/>
    <col min="263" max="268" width="8" customWidth="1"/>
    <col min="269" max="269" width="8.5703125" customWidth="1"/>
    <col min="270" max="270" width="8.42578125" customWidth="1"/>
    <col min="271" max="271" width="3.85546875" customWidth="1"/>
    <col min="272" max="272" width="3.42578125" customWidth="1"/>
    <col min="273" max="275" width="11.42578125" customWidth="1"/>
    <col min="276" max="276" width="10.28515625" customWidth="1"/>
    <col min="277" max="277" width="9.7109375" customWidth="1"/>
    <col min="278" max="278" width="9.42578125" customWidth="1"/>
    <col min="513" max="513" width="2.28515625" customWidth="1"/>
    <col min="514" max="514" width="6.28515625" customWidth="1"/>
    <col min="515" max="515" width="11.140625" customWidth="1"/>
    <col min="516" max="516" width="9.140625" customWidth="1"/>
    <col min="517" max="517" width="9.28515625" customWidth="1"/>
    <col min="518" max="518" width="7.42578125" customWidth="1"/>
    <col min="519" max="524" width="8" customWidth="1"/>
    <col min="525" max="525" width="8.5703125" customWidth="1"/>
    <col min="526" max="526" width="8.42578125" customWidth="1"/>
    <col min="527" max="527" width="3.85546875" customWidth="1"/>
    <col min="528" max="528" width="3.42578125" customWidth="1"/>
    <col min="529" max="531" width="11.42578125" customWidth="1"/>
    <col min="532" max="532" width="10.28515625" customWidth="1"/>
    <col min="533" max="533" width="9.7109375" customWidth="1"/>
    <col min="534" max="534" width="9.42578125" customWidth="1"/>
    <col min="769" max="769" width="2.28515625" customWidth="1"/>
    <col min="770" max="770" width="6.28515625" customWidth="1"/>
    <col min="771" max="771" width="11.140625" customWidth="1"/>
    <col min="772" max="772" width="9.140625" customWidth="1"/>
    <col min="773" max="773" width="9.28515625" customWidth="1"/>
    <col min="774" max="774" width="7.42578125" customWidth="1"/>
    <col min="775" max="780" width="8" customWidth="1"/>
    <col min="781" max="781" width="8.5703125" customWidth="1"/>
    <col min="782" max="782" width="8.42578125" customWidth="1"/>
    <col min="783" max="783" width="3.85546875" customWidth="1"/>
    <col min="784" max="784" width="3.42578125" customWidth="1"/>
    <col min="785" max="787" width="11.42578125" customWidth="1"/>
    <col min="788" max="788" width="10.28515625" customWidth="1"/>
    <col min="789" max="789" width="9.7109375" customWidth="1"/>
    <col min="790" max="790" width="9.42578125" customWidth="1"/>
    <col min="1025" max="1025" width="2.28515625" customWidth="1"/>
    <col min="1026" max="1026" width="6.28515625" customWidth="1"/>
    <col min="1027" max="1027" width="11.140625" customWidth="1"/>
    <col min="1028" max="1028" width="9.140625" customWidth="1"/>
    <col min="1029" max="1029" width="9.28515625" customWidth="1"/>
    <col min="1030" max="1030" width="7.42578125" customWidth="1"/>
    <col min="1031" max="1036" width="8" customWidth="1"/>
    <col min="1037" max="1037" width="8.5703125" customWidth="1"/>
    <col min="1038" max="1038" width="8.42578125" customWidth="1"/>
    <col min="1039" max="1039" width="3.85546875" customWidth="1"/>
    <col min="1040" max="1040" width="3.42578125" customWidth="1"/>
    <col min="1041" max="1043" width="11.42578125" customWidth="1"/>
    <col min="1044" max="1044" width="10.28515625" customWidth="1"/>
    <col min="1045" max="1045" width="9.7109375" customWidth="1"/>
    <col min="1046" max="1046" width="9.42578125" customWidth="1"/>
    <col min="1281" max="1281" width="2.28515625" customWidth="1"/>
    <col min="1282" max="1282" width="6.28515625" customWidth="1"/>
    <col min="1283" max="1283" width="11.140625" customWidth="1"/>
    <col min="1284" max="1284" width="9.140625" customWidth="1"/>
    <col min="1285" max="1285" width="9.28515625" customWidth="1"/>
    <col min="1286" max="1286" width="7.42578125" customWidth="1"/>
    <col min="1287" max="1292" width="8" customWidth="1"/>
    <col min="1293" max="1293" width="8.5703125" customWidth="1"/>
    <col min="1294" max="1294" width="8.42578125" customWidth="1"/>
    <col min="1295" max="1295" width="3.85546875" customWidth="1"/>
    <col min="1296" max="1296" width="3.42578125" customWidth="1"/>
    <col min="1297" max="1299" width="11.42578125" customWidth="1"/>
    <col min="1300" max="1300" width="10.28515625" customWidth="1"/>
    <col min="1301" max="1301" width="9.7109375" customWidth="1"/>
    <col min="1302" max="1302" width="9.42578125" customWidth="1"/>
    <col min="1537" max="1537" width="2.28515625" customWidth="1"/>
    <col min="1538" max="1538" width="6.28515625" customWidth="1"/>
    <col min="1539" max="1539" width="11.140625" customWidth="1"/>
    <col min="1540" max="1540" width="9.140625" customWidth="1"/>
    <col min="1541" max="1541" width="9.28515625" customWidth="1"/>
    <col min="1542" max="1542" width="7.42578125" customWidth="1"/>
    <col min="1543" max="1548" width="8" customWidth="1"/>
    <col min="1549" max="1549" width="8.5703125" customWidth="1"/>
    <col min="1550" max="1550" width="8.42578125" customWidth="1"/>
    <col min="1551" max="1551" width="3.85546875" customWidth="1"/>
    <col min="1552" max="1552" width="3.42578125" customWidth="1"/>
    <col min="1553" max="1555" width="11.42578125" customWidth="1"/>
    <col min="1556" max="1556" width="10.28515625" customWidth="1"/>
    <col min="1557" max="1557" width="9.7109375" customWidth="1"/>
    <col min="1558" max="1558" width="9.42578125" customWidth="1"/>
    <col min="1793" max="1793" width="2.28515625" customWidth="1"/>
    <col min="1794" max="1794" width="6.28515625" customWidth="1"/>
    <col min="1795" max="1795" width="11.140625" customWidth="1"/>
    <col min="1796" max="1796" width="9.140625" customWidth="1"/>
    <col min="1797" max="1797" width="9.28515625" customWidth="1"/>
    <col min="1798" max="1798" width="7.42578125" customWidth="1"/>
    <col min="1799" max="1804" width="8" customWidth="1"/>
    <col min="1805" max="1805" width="8.5703125" customWidth="1"/>
    <col min="1806" max="1806" width="8.42578125" customWidth="1"/>
    <col min="1807" max="1807" width="3.85546875" customWidth="1"/>
    <col min="1808" max="1808" width="3.42578125" customWidth="1"/>
    <col min="1809" max="1811" width="11.42578125" customWidth="1"/>
    <col min="1812" max="1812" width="10.28515625" customWidth="1"/>
    <col min="1813" max="1813" width="9.7109375" customWidth="1"/>
    <col min="1814" max="1814" width="9.42578125" customWidth="1"/>
    <col min="2049" max="2049" width="2.28515625" customWidth="1"/>
    <col min="2050" max="2050" width="6.28515625" customWidth="1"/>
    <col min="2051" max="2051" width="11.140625" customWidth="1"/>
    <col min="2052" max="2052" width="9.140625" customWidth="1"/>
    <col min="2053" max="2053" width="9.28515625" customWidth="1"/>
    <col min="2054" max="2054" width="7.42578125" customWidth="1"/>
    <col min="2055" max="2060" width="8" customWidth="1"/>
    <col min="2061" max="2061" width="8.5703125" customWidth="1"/>
    <col min="2062" max="2062" width="8.42578125" customWidth="1"/>
    <col min="2063" max="2063" width="3.85546875" customWidth="1"/>
    <col min="2064" max="2064" width="3.42578125" customWidth="1"/>
    <col min="2065" max="2067" width="11.42578125" customWidth="1"/>
    <col min="2068" max="2068" width="10.28515625" customWidth="1"/>
    <col min="2069" max="2069" width="9.7109375" customWidth="1"/>
    <col min="2070" max="2070" width="9.42578125" customWidth="1"/>
    <col min="2305" max="2305" width="2.28515625" customWidth="1"/>
    <col min="2306" max="2306" width="6.28515625" customWidth="1"/>
    <col min="2307" max="2307" width="11.140625" customWidth="1"/>
    <col min="2308" max="2308" width="9.140625" customWidth="1"/>
    <col min="2309" max="2309" width="9.28515625" customWidth="1"/>
    <col min="2310" max="2310" width="7.42578125" customWidth="1"/>
    <col min="2311" max="2316" width="8" customWidth="1"/>
    <col min="2317" max="2317" width="8.5703125" customWidth="1"/>
    <col min="2318" max="2318" width="8.42578125" customWidth="1"/>
    <col min="2319" max="2319" width="3.85546875" customWidth="1"/>
    <col min="2320" max="2320" width="3.42578125" customWidth="1"/>
    <col min="2321" max="2323" width="11.42578125" customWidth="1"/>
    <col min="2324" max="2324" width="10.28515625" customWidth="1"/>
    <col min="2325" max="2325" width="9.7109375" customWidth="1"/>
    <col min="2326" max="2326" width="9.42578125" customWidth="1"/>
    <col min="2561" max="2561" width="2.28515625" customWidth="1"/>
    <col min="2562" max="2562" width="6.28515625" customWidth="1"/>
    <col min="2563" max="2563" width="11.140625" customWidth="1"/>
    <col min="2564" max="2564" width="9.140625" customWidth="1"/>
    <col min="2565" max="2565" width="9.28515625" customWidth="1"/>
    <col min="2566" max="2566" width="7.42578125" customWidth="1"/>
    <col min="2567" max="2572" width="8" customWidth="1"/>
    <col min="2573" max="2573" width="8.5703125" customWidth="1"/>
    <col min="2574" max="2574" width="8.42578125" customWidth="1"/>
    <col min="2575" max="2575" width="3.85546875" customWidth="1"/>
    <col min="2576" max="2576" width="3.42578125" customWidth="1"/>
    <col min="2577" max="2579" width="11.42578125" customWidth="1"/>
    <col min="2580" max="2580" width="10.28515625" customWidth="1"/>
    <col min="2581" max="2581" width="9.7109375" customWidth="1"/>
    <col min="2582" max="2582" width="9.42578125" customWidth="1"/>
    <col min="2817" max="2817" width="2.28515625" customWidth="1"/>
    <col min="2818" max="2818" width="6.28515625" customWidth="1"/>
    <col min="2819" max="2819" width="11.140625" customWidth="1"/>
    <col min="2820" max="2820" width="9.140625" customWidth="1"/>
    <col min="2821" max="2821" width="9.28515625" customWidth="1"/>
    <col min="2822" max="2822" width="7.42578125" customWidth="1"/>
    <col min="2823" max="2828" width="8" customWidth="1"/>
    <col min="2829" max="2829" width="8.5703125" customWidth="1"/>
    <col min="2830" max="2830" width="8.42578125" customWidth="1"/>
    <col min="2831" max="2831" width="3.85546875" customWidth="1"/>
    <col min="2832" max="2832" width="3.42578125" customWidth="1"/>
    <col min="2833" max="2835" width="11.42578125" customWidth="1"/>
    <col min="2836" max="2836" width="10.28515625" customWidth="1"/>
    <col min="2837" max="2837" width="9.7109375" customWidth="1"/>
    <col min="2838" max="2838" width="9.42578125" customWidth="1"/>
    <col min="3073" max="3073" width="2.28515625" customWidth="1"/>
    <col min="3074" max="3074" width="6.28515625" customWidth="1"/>
    <col min="3075" max="3075" width="11.140625" customWidth="1"/>
    <col min="3076" max="3076" width="9.140625" customWidth="1"/>
    <col min="3077" max="3077" width="9.28515625" customWidth="1"/>
    <col min="3078" max="3078" width="7.42578125" customWidth="1"/>
    <col min="3079" max="3084" width="8" customWidth="1"/>
    <col min="3085" max="3085" width="8.5703125" customWidth="1"/>
    <col min="3086" max="3086" width="8.42578125" customWidth="1"/>
    <col min="3087" max="3087" width="3.85546875" customWidth="1"/>
    <col min="3088" max="3088" width="3.42578125" customWidth="1"/>
    <col min="3089" max="3091" width="11.42578125" customWidth="1"/>
    <col min="3092" max="3092" width="10.28515625" customWidth="1"/>
    <col min="3093" max="3093" width="9.7109375" customWidth="1"/>
    <col min="3094" max="3094" width="9.42578125" customWidth="1"/>
    <col min="3329" max="3329" width="2.28515625" customWidth="1"/>
    <col min="3330" max="3330" width="6.28515625" customWidth="1"/>
    <col min="3331" max="3331" width="11.140625" customWidth="1"/>
    <col min="3332" max="3332" width="9.140625" customWidth="1"/>
    <col min="3333" max="3333" width="9.28515625" customWidth="1"/>
    <col min="3334" max="3334" width="7.42578125" customWidth="1"/>
    <col min="3335" max="3340" width="8" customWidth="1"/>
    <col min="3341" max="3341" width="8.5703125" customWidth="1"/>
    <col min="3342" max="3342" width="8.42578125" customWidth="1"/>
    <col min="3343" max="3343" width="3.85546875" customWidth="1"/>
    <col min="3344" max="3344" width="3.42578125" customWidth="1"/>
    <col min="3345" max="3347" width="11.42578125" customWidth="1"/>
    <col min="3348" max="3348" width="10.28515625" customWidth="1"/>
    <col min="3349" max="3349" width="9.7109375" customWidth="1"/>
    <col min="3350" max="3350" width="9.42578125" customWidth="1"/>
    <col min="3585" max="3585" width="2.28515625" customWidth="1"/>
    <col min="3586" max="3586" width="6.28515625" customWidth="1"/>
    <col min="3587" max="3587" width="11.140625" customWidth="1"/>
    <col min="3588" max="3588" width="9.140625" customWidth="1"/>
    <col min="3589" max="3589" width="9.28515625" customWidth="1"/>
    <col min="3590" max="3590" width="7.42578125" customWidth="1"/>
    <col min="3591" max="3596" width="8" customWidth="1"/>
    <col min="3597" max="3597" width="8.5703125" customWidth="1"/>
    <col min="3598" max="3598" width="8.42578125" customWidth="1"/>
    <col min="3599" max="3599" width="3.85546875" customWidth="1"/>
    <col min="3600" max="3600" width="3.42578125" customWidth="1"/>
    <col min="3601" max="3603" width="11.42578125" customWidth="1"/>
    <col min="3604" max="3604" width="10.28515625" customWidth="1"/>
    <col min="3605" max="3605" width="9.7109375" customWidth="1"/>
    <col min="3606" max="3606" width="9.42578125" customWidth="1"/>
    <col min="3841" max="3841" width="2.28515625" customWidth="1"/>
    <col min="3842" max="3842" width="6.28515625" customWidth="1"/>
    <col min="3843" max="3843" width="11.140625" customWidth="1"/>
    <col min="3844" max="3844" width="9.140625" customWidth="1"/>
    <col min="3845" max="3845" width="9.28515625" customWidth="1"/>
    <col min="3846" max="3846" width="7.42578125" customWidth="1"/>
    <col min="3847" max="3852" width="8" customWidth="1"/>
    <col min="3853" max="3853" width="8.5703125" customWidth="1"/>
    <col min="3854" max="3854" width="8.42578125" customWidth="1"/>
    <col min="3855" max="3855" width="3.85546875" customWidth="1"/>
    <col min="3856" max="3856" width="3.42578125" customWidth="1"/>
    <col min="3857" max="3859" width="11.42578125" customWidth="1"/>
    <col min="3860" max="3860" width="10.28515625" customWidth="1"/>
    <col min="3861" max="3861" width="9.7109375" customWidth="1"/>
    <col min="3862" max="3862" width="9.42578125" customWidth="1"/>
    <col min="4097" max="4097" width="2.28515625" customWidth="1"/>
    <col min="4098" max="4098" width="6.28515625" customWidth="1"/>
    <col min="4099" max="4099" width="11.140625" customWidth="1"/>
    <col min="4100" max="4100" width="9.140625" customWidth="1"/>
    <col min="4101" max="4101" width="9.28515625" customWidth="1"/>
    <col min="4102" max="4102" width="7.42578125" customWidth="1"/>
    <col min="4103" max="4108" width="8" customWidth="1"/>
    <col min="4109" max="4109" width="8.5703125" customWidth="1"/>
    <col min="4110" max="4110" width="8.42578125" customWidth="1"/>
    <col min="4111" max="4111" width="3.85546875" customWidth="1"/>
    <col min="4112" max="4112" width="3.42578125" customWidth="1"/>
    <col min="4113" max="4115" width="11.42578125" customWidth="1"/>
    <col min="4116" max="4116" width="10.28515625" customWidth="1"/>
    <col min="4117" max="4117" width="9.7109375" customWidth="1"/>
    <col min="4118" max="4118" width="9.42578125" customWidth="1"/>
    <col min="4353" max="4353" width="2.28515625" customWidth="1"/>
    <col min="4354" max="4354" width="6.28515625" customWidth="1"/>
    <col min="4355" max="4355" width="11.140625" customWidth="1"/>
    <col min="4356" max="4356" width="9.140625" customWidth="1"/>
    <col min="4357" max="4357" width="9.28515625" customWidth="1"/>
    <col min="4358" max="4358" width="7.42578125" customWidth="1"/>
    <col min="4359" max="4364" width="8" customWidth="1"/>
    <col min="4365" max="4365" width="8.5703125" customWidth="1"/>
    <col min="4366" max="4366" width="8.42578125" customWidth="1"/>
    <col min="4367" max="4367" width="3.85546875" customWidth="1"/>
    <col min="4368" max="4368" width="3.42578125" customWidth="1"/>
    <col min="4369" max="4371" width="11.42578125" customWidth="1"/>
    <col min="4372" max="4372" width="10.28515625" customWidth="1"/>
    <col min="4373" max="4373" width="9.7109375" customWidth="1"/>
    <col min="4374" max="4374" width="9.42578125" customWidth="1"/>
    <col min="4609" max="4609" width="2.28515625" customWidth="1"/>
    <col min="4610" max="4610" width="6.28515625" customWidth="1"/>
    <col min="4611" max="4611" width="11.140625" customWidth="1"/>
    <col min="4612" max="4612" width="9.140625" customWidth="1"/>
    <col min="4613" max="4613" width="9.28515625" customWidth="1"/>
    <col min="4614" max="4614" width="7.42578125" customWidth="1"/>
    <col min="4615" max="4620" width="8" customWidth="1"/>
    <col min="4621" max="4621" width="8.5703125" customWidth="1"/>
    <col min="4622" max="4622" width="8.42578125" customWidth="1"/>
    <col min="4623" max="4623" width="3.85546875" customWidth="1"/>
    <col min="4624" max="4624" width="3.42578125" customWidth="1"/>
    <col min="4625" max="4627" width="11.42578125" customWidth="1"/>
    <col min="4628" max="4628" width="10.28515625" customWidth="1"/>
    <col min="4629" max="4629" width="9.7109375" customWidth="1"/>
    <col min="4630" max="4630" width="9.42578125" customWidth="1"/>
    <col min="4865" max="4865" width="2.28515625" customWidth="1"/>
    <col min="4866" max="4866" width="6.28515625" customWidth="1"/>
    <col min="4867" max="4867" width="11.140625" customWidth="1"/>
    <col min="4868" max="4868" width="9.140625" customWidth="1"/>
    <col min="4869" max="4869" width="9.28515625" customWidth="1"/>
    <col min="4870" max="4870" width="7.42578125" customWidth="1"/>
    <col min="4871" max="4876" width="8" customWidth="1"/>
    <col min="4877" max="4877" width="8.5703125" customWidth="1"/>
    <col min="4878" max="4878" width="8.42578125" customWidth="1"/>
    <col min="4879" max="4879" width="3.85546875" customWidth="1"/>
    <col min="4880" max="4880" width="3.42578125" customWidth="1"/>
    <col min="4881" max="4883" width="11.42578125" customWidth="1"/>
    <col min="4884" max="4884" width="10.28515625" customWidth="1"/>
    <col min="4885" max="4885" width="9.7109375" customWidth="1"/>
    <col min="4886" max="4886" width="9.42578125" customWidth="1"/>
    <col min="5121" max="5121" width="2.28515625" customWidth="1"/>
    <col min="5122" max="5122" width="6.28515625" customWidth="1"/>
    <col min="5123" max="5123" width="11.140625" customWidth="1"/>
    <col min="5124" max="5124" width="9.140625" customWidth="1"/>
    <col min="5125" max="5125" width="9.28515625" customWidth="1"/>
    <col min="5126" max="5126" width="7.42578125" customWidth="1"/>
    <col min="5127" max="5132" width="8" customWidth="1"/>
    <col min="5133" max="5133" width="8.5703125" customWidth="1"/>
    <col min="5134" max="5134" width="8.42578125" customWidth="1"/>
    <col min="5135" max="5135" width="3.85546875" customWidth="1"/>
    <col min="5136" max="5136" width="3.42578125" customWidth="1"/>
    <col min="5137" max="5139" width="11.42578125" customWidth="1"/>
    <col min="5140" max="5140" width="10.28515625" customWidth="1"/>
    <col min="5141" max="5141" width="9.7109375" customWidth="1"/>
    <col min="5142" max="5142" width="9.42578125" customWidth="1"/>
    <col min="5377" max="5377" width="2.28515625" customWidth="1"/>
    <col min="5378" max="5378" width="6.28515625" customWidth="1"/>
    <col min="5379" max="5379" width="11.140625" customWidth="1"/>
    <col min="5380" max="5380" width="9.140625" customWidth="1"/>
    <col min="5381" max="5381" width="9.28515625" customWidth="1"/>
    <col min="5382" max="5382" width="7.42578125" customWidth="1"/>
    <col min="5383" max="5388" width="8" customWidth="1"/>
    <col min="5389" max="5389" width="8.5703125" customWidth="1"/>
    <col min="5390" max="5390" width="8.42578125" customWidth="1"/>
    <col min="5391" max="5391" width="3.85546875" customWidth="1"/>
    <col min="5392" max="5392" width="3.42578125" customWidth="1"/>
    <col min="5393" max="5395" width="11.42578125" customWidth="1"/>
    <col min="5396" max="5396" width="10.28515625" customWidth="1"/>
    <col min="5397" max="5397" width="9.7109375" customWidth="1"/>
    <col min="5398" max="5398" width="9.42578125" customWidth="1"/>
    <col min="5633" max="5633" width="2.28515625" customWidth="1"/>
    <col min="5634" max="5634" width="6.28515625" customWidth="1"/>
    <col min="5635" max="5635" width="11.140625" customWidth="1"/>
    <col min="5636" max="5636" width="9.140625" customWidth="1"/>
    <col min="5637" max="5637" width="9.28515625" customWidth="1"/>
    <col min="5638" max="5638" width="7.42578125" customWidth="1"/>
    <col min="5639" max="5644" width="8" customWidth="1"/>
    <col min="5645" max="5645" width="8.5703125" customWidth="1"/>
    <col min="5646" max="5646" width="8.42578125" customWidth="1"/>
    <col min="5647" max="5647" width="3.85546875" customWidth="1"/>
    <col min="5648" max="5648" width="3.42578125" customWidth="1"/>
    <col min="5649" max="5651" width="11.42578125" customWidth="1"/>
    <col min="5652" max="5652" width="10.28515625" customWidth="1"/>
    <col min="5653" max="5653" width="9.7109375" customWidth="1"/>
    <col min="5654" max="5654" width="9.42578125" customWidth="1"/>
    <col min="5889" max="5889" width="2.28515625" customWidth="1"/>
    <col min="5890" max="5890" width="6.28515625" customWidth="1"/>
    <col min="5891" max="5891" width="11.140625" customWidth="1"/>
    <col min="5892" max="5892" width="9.140625" customWidth="1"/>
    <col min="5893" max="5893" width="9.28515625" customWidth="1"/>
    <col min="5894" max="5894" width="7.42578125" customWidth="1"/>
    <col min="5895" max="5900" width="8" customWidth="1"/>
    <col min="5901" max="5901" width="8.5703125" customWidth="1"/>
    <col min="5902" max="5902" width="8.42578125" customWidth="1"/>
    <col min="5903" max="5903" width="3.85546875" customWidth="1"/>
    <col min="5904" max="5904" width="3.42578125" customWidth="1"/>
    <col min="5905" max="5907" width="11.42578125" customWidth="1"/>
    <col min="5908" max="5908" width="10.28515625" customWidth="1"/>
    <col min="5909" max="5909" width="9.7109375" customWidth="1"/>
    <col min="5910" max="5910" width="9.42578125" customWidth="1"/>
    <col min="6145" max="6145" width="2.28515625" customWidth="1"/>
    <col min="6146" max="6146" width="6.28515625" customWidth="1"/>
    <col min="6147" max="6147" width="11.140625" customWidth="1"/>
    <col min="6148" max="6148" width="9.140625" customWidth="1"/>
    <col min="6149" max="6149" width="9.28515625" customWidth="1"/>
    <col min="6150" max="6150" width="7.42578125" customWidth="1"/>
    <col min="6151" max="6156" width="8" customWidth="1"/>
    <col min="6157" max="6157" width="8.5703125" customWidth="1"/>
    <col min="6158" max="6158" width="8.42578125" customWidth="1"/>
    <col min="6159" max="6159" width="3.85546875" customWidth="1"/>
    <col min="6160" max="6160" width="3.42578125" customWidth="1"/>
    <col min="6161" max="6163" width="11.42578125" customWidth="1"/>
    <col min="6164" max="6164" width="10.28515625" customWidth="1"/>
    <col min="6165" max="6165" width="9.7109375" customWidth="1"/>
    <col min="6166" max="6166" width="9.42578125" customWidth="1"/>
    <col min="6401" max="6401" width="2.28515625" customWidth="1"/>
    <col min="6402" max="6402" width="6.28515625" customWidth="1"/>
    <col min="6403" max="6403" width="11.140625" customWidth="1"/>
    <col min="6404" max="6404" width="9.140625" customWidth="1"/>
    <col min="6405" max="6405" width="9.28515625" customWidth="1"/>
    <col min="6406" max="6406" width="7.42578125" customWidth="1"/>
    <col min="6407" max="6412" width="8" customWidth="1"/>
    <col min="6413" max="6413" width="8.5703125" customWidth="1"/>
    <col min="6414" max="6414" width="8.42578125" customWidth="1"/>
    <col min="6415" max="6415" width="3.85546875" customWidth="1"/>
    <col min="6416" max="6416" width="3.42578125" customWidth="1"/>
    <col min="6417" max="6419" width="11.42578125" customWidth="1"/>
    <col min="6420" max="6420" width="10.28515625" customWidth="1"/>
    <col min="6421" max="6421" width="9.7109375" customWidth="1"/>
    <col min="6422" max="6422" width="9.42578125" customWidth="1"/>
    <col min="6657" max="6657" width="2.28515625" customWidth="1"/>
    <col min="6658" max="6658" width="6.28515625" customWidth="1"/>
    <col min="6659" max="6659" width="11.140625" customWidth="1"/>
    <col min="6660" max="6660" width="9.140625" customWidth="1"/>
    <col min="6661" max="6661" width="9.28515625" customWidth="1"/>
    <col min="6662" max="6662" width="7.42578125" customWidth="1"/>
    <col min="6663" max="6668" width="8" customWidth="1"/>
    <col min="6669" max="6669" width="8.5703125" customWidth="1"/>
    <col min="6670" max="6670" width="8.42578125" customWidth="1"/>
    <col min="6671" max="6671" width="3.85546875" customWidth="1"/>
    <col min="6672" max="6672" width="3.42578125" customWidth="1"/>
    <col min="6673" max="6675" width="11.42578125" customWidth="1"/>
    <col min="6676" max="6676" width="10.28515625" customWidth="1"/>
    <col min="6677" max="6677" width="9.7109375" customWidth="1"/>
    <col min="6678" max="6678" width="9.42578125" customWidth="1"/>
    <col min="6913" max="6913" width="2.28515625" customWidth="1"/>
    <col min="6914" max="6914" width="6.28515625" customWidth="1"/>
    <col min="6915" max="6915" width="11.140625" customWidth="1"/>
    <col min="6916" max="6916" width="9.140625" customWidth="1"/>
    <col min="6917" max="6917" width="9.28515625" customWidth="1"/>
    <col min="6918" max="6918" width="7.42578125" customWidth="1"/>
    <col min="6919" max="6924" width="8" customWidth="1"/>
    <col min="6925" max="6925" width="8.5703125" customWidth="1"/>
    <col min="6926" max="6926" width="8.42578125" customWidth="1"/>
    <col min="6927" max="6927" width="3.85546875" customWidth="1"/>
    <col min="6928" max="6928" width="3.42578125" customWidth="1"/>
    <col min="6929" max="6931" width="11.42578125" customWidth="1"/>
    <col min="6932" max="6932" width="10.28515625" customWidth="1"/>
    <col min="6933" max="6933" width="9.7109375" customWidth="1"/>
    <col min="6934" max="6934" width="9.42578125" customWidth="1"/>
    <col min="7169" max="7169" width="2.28515625" customWidth="1"/>
    <col min="7170" max="7170" width="6.28515625" customWidth="1"/>
    <col min="7171" max="7171" width="11.140625" customWidth="1"/>
    <col min="7172" max="7172" width="9.140625" customWidth="1"/>
    <col min="7173" max="7173" width="9.28515625" customWidth="1"/>
    <col min="7174" max="7174" width="7.42578125" customWidth="1"/>
    <col min="7175" max="7180" width="8" customWidth="1"/>
    <col min="7181" max="7181" width="8.5703125" customWidth="1"/>
    <col min="7182" max="7182" width="8.42578125" customWidth="1"/>
    <col min="7183" max="7183" width="3.85546875" customWidth="1"/>
    <col min="7184" max="7184" width="3.42578125" customWidth="1"/>
    <col min="7185" max="7187" width="11.42578125" customWidth="1"/>
    <col min="7188" max="7188" width="10.28515625" customWidth="1"/>
    <col min="7189" max="7189" width="9.7109375" customWidth="1"/>
    <col min="7190" max="7190" width="9.42578125" customWidth="1"/>
    <col min="7425" max="7425" width="2.28515625" customWidth="1"/>
    <col min="7426" max="7426" width="6.28515625" customWidth="1"/>
    <col min="7427" max="7427" width="11.140625" customWidth="1"/>
    <col min="7428" max="7428" width="9.140625" customWidth="1"/>
    <col min="7429" max="7429" width="9.28515625" customWidth="1"/>
    <col min="7430" max="7430" width="7.42578125" customWidth="1"/>
    <col min="7431" max="7436" width="8" customWidth="1"/>
    <col min="7437" max="7437" width="8.5703125" customWidth="1"/>
    <col min="7438" max="7438" width="8.42578125" customWidth="1"/>
    <col min="7439" max="7439" width="3.85546875" customWidth="1"/>
    <col min="7440" max="7440" width="3.42578125" customWidth="1"/>
    <col min="7441" max="7443" width="11.42578125" customWidth="1"/>
    <col min="7444" max="7444" width="10.28515625" customWidth="1"/>
    <col min="7445" max="7445" width="9.7109375" customWidth="1"/>
    <col min="7446" max="7446" width="9.42578125" customWidth="1"/>
    <col min="7681" max="7681" width="2.28515625" customWidth="1"/>
    <col min="7682" max="7682" width="6.28515625" customWidth="1"/>
    <col min="7683" max="7683" width="11.140625" customWidth="1"/>
    <col min="7684" max="7684" width="9.140625" customWidth="1"/>
    <col min="7685" max="7685" width="9.28515625" customWidth="1"/>
    <col min="7686" max="7686" width="7.42578125" customWidth="1"/>
    <col min="7687" max="7692" width="8" customWidth="1"/>
    <col min="7693" max="7693" width="8.5703125" customWidth="1"/>
    <col min="7694" max="7694" width="8.42578125" customWidth="1"/>
    <col min="7695" max="7695" width="3.85546875" customWidth="1"/>
    <col min="7696" max="7696" width="3.42578125" customWidth="1"/>
    <col min="7697" max="7699" width="11.42578125" customWidth="1"/>
    <col min="7700" max="7700" width="10.28515625" customWidth="1"/>
    <col min="7701" max="7701" width="9.7109375" customWidth="1"/>
    <col min="7702" max="7702" width="9.42578125" customWidth="1"/>
    <col min="7937" max="7937" width="2.28515625" customWidth="1"/>
    <col min="7938" max="7938" width="6.28515625" customWidth="1"/>
    <col min="7939" max="7939" width="11.140625" customWidth="1"/>
    <col min="7940" max="7940" width="9.140625" customWidth="1"/>
    <col min="7941" max="7941" width="9.28515625" customWidth="1"/>
    <col min="7942" max="7942" width="7.42578125" customWidth="1"/>
    <col min="7943" max="7948" width="8" customWidth="1"/>
    <col min="7949" max="7949" width="8.5703125" customWidth="1"/>
    <col min="7950" max="7950" width="8.42578125" customWidth="1"/>
    <col min="7951" max="7951" width="3.85546875" customWidth="1"/>
    <col min="7952" max="7952" width="3.42578125" customWidth="1"/>
    <col min="7953" max="7955" width="11.42578125" customWidth="1"/>
    <col min="7956" max="7956" width="10.28515625" customWidth="1"/>
    <col min="7957" max="7957" width="9.7109375" customWidth="1"/>
    <col min="7958" max="7958" width="9.42578125" customWidth="1"/>
    <col min="8193" max="8193" width="2.28515625" customWidth="1"/>
    <col min="8194" max="8194" width="6.28515625" customWidth="1"/>
    <col min="8195" max="8195" width="11.140625" customWidth="1"/>
    <col min="8196" max="8196" width="9.140625" customWidth="1"/>
    <col min="8197" max="8197" width="9.28515625" customWidth="1"/>
    <col min="8198" max="8198" width="7.42578125" customWidth="1"/>
    <col min="8199" max="8204" width="8" customWidth="1"/>
    <col min="8205" max="8205" width="8.5703125" customWidth="1"/>
    <col min="8206" max="8206" width="8.42578125" customWidth="1"/>
    <col min="8207" max="8207" width="3.85546875" customWidth="1"/>
    <col min="8208" max="8208" width="3.42578125" customWidth="1"/>
    <col min="8209" max="8211" width="11.42578125" customWidth="1"/>
    <col min="8212" max="8212" width="10.28515625" customWidth="1"/>
    <col min="8213" max="8213" width="9.7109375" customWidth="1"/>
    <col min="8214" max="8214" width="9.42578125" customWidth="1"/>
    <col min="8449" max="8449" width="2.28515625" customWidth="1"/>
    <col min="8450" max="8450" width="6.28515625" customWidth="1"/>
    <col min="8451" max="8451" width="11.140625" customWidth="1"/>
    <col min="8452" max="8452" width="9.140625" customWidth="1"/>
    <col min="8453" max="8453" width="9.28515625" customWidth="1"/>
    <col min="8454" max="8454" width="7.42578125" customWidth="1"/>
    <col min="8455" max="8460" width="8" customWidth="1"/>
    <col min="8461" max="8461" width="8.5703125" customWidth="1"/>
    <col min="8462" max="8462" width="8.42578125" customWidth="1"/>
    <col min="8463" max="8463" width="3.85546875" customWidth="1"/>
    <col min="8464" max="8464" width="3.42578125" customWidth="1"/>
    <col min="8465" max="8467" width="11.42578125" customWidth="1"/>
    <col min="8468" max="8468" width="10.28515625" customWidth="1"/>
    <col min="8469" max="8469" width="9.7109375" customWidth="1"/>
    <col min="8470" max="8470" width="9.42578125" customWidth="1"/>
    <col min="8705" max="8705" width="2.28515625" customWidth="1"/>
    <col min="8706" max="8706" width="6.28515625" customWidth="1"/>
    <col min="8707" max="8707" width="11.140625" customWidth="1"/>
    <col min="8708" max="8708" width="9.140625" customWidth="1"/>
    <col min="8709" max="8709" width="9.28515625" customWidth="1"/>
    <col min="8710" max="8710" width="7.42578125" customWidth="1"/>
    <col min="8711" max="8716" width="8" customWidth="1"/>
    <col min="8717" max="8717" width="8.5703125" customWidth="1"/>
    <col min="8718" max="8718" width="8.42578125" customWidth="1"/>
    <col min="8719" max="8719" width="3.85546875" customWidth="1"/>
    <col min="8720" max="8720" width="3.42578125" customWidth="1"/>
    <col min="8721" max="8723" width="11.42578125" customWidth="1"/>
    <col min="8724" max="8724" width="10.28515625" customWidth="1"/>
    <col min="8725" max="8725" width="9.7109375" customWidth="1"/>
    <col min="8726" max="8726" width="9.42578125" customWidth="1"/>
    <col min="8961" max="8961" width="2.28515625" customWidth="1"/>
    <col min="8962" max="8962" width="6.28515625" customWidth="1"/>
    <col min="8963" max="8963" width="11.140625" customWidth="1"/>
    <col min="8964" max="8964" width="9.140625" customWidth="1"/>
    <col min="8965" max="8965" width="9.28515625" customWidth="1"/>
    <col min="8966" max="8966" width="7.42578125" customWidth="1"/>
    <col min="8967" max="8972" width="8" customWidth="1"/>
    <col min="8973" max="8973" width="8.5703125" customWidth="1"/>
    <col min="8974" max="8974" width="8.42578125" customWidth="1"/>
    <col min="8975" max="8975" width="3.85546875" customWidth="1"/>
    <col min="8976" max="8976" width="3.42578125" customWidth="1"/>
    <col min="8977" max="8979" width="11.42578125" customWidth="1"/>
    <col min="8980" max="8980" width="10.28515625" customWidth="1"/>
    <col min="8981" max="8981" width="9.7109375" customWidth="1"/>
    <col min="8982" max="8982" width="9.42578125" customWidth="1"/>
    <col min="9217" max="9217" width="2.28515625" customWidth="1"/>
    <col min="9218" max="9218" width="6.28515625" customWidth="1"/>
    <col min="9219" max="9219" width="11.140625" customWidth="1"/>
    <col min="9220" max="9220" width="9.140625" customWidth="1"/>
    <col min="9221" max="9221" width="9.28515625" customWidth="1"/>
    <col min="9222" max="9222" width="7.42578125" customWidth="1"/>
    <col min="9223" max="9228" width="8" customWidth="1"/>
    <col min="9229" max="9229" width="8.5703125" customWidth="1"/>
    <col min="9230" max="9230" width="8.42578125" customWidth="1"/>
    <col min="9231" max="9231" width="3.85546875" customWidth="1"/>
    <col min="9232" max="9232" width="3.42578125" customWidth="1"/>
    <col min="9233" max="9235" width="11.42578125" customWidth="1"/>
    <col min="9236" max="9236" width="10.28515625" customWidth="1"/>
    <col min="9237" max="9237" width="9.7109375" customWidth="1"/>
    <col min="9238" max="9238" width="9.42578125" customWidth="1"/>
    <col min="9473" max="9473" width="2.28515625" customWidth="1"/>
    <col min="9474" max="9474" width="6.28515625" customWidth="1"/>
    <col min="9475" max="9475" width="11.140625" customWidth="1"/>
    <col min="9476" max="9476" width="9.140625" customWidth="1"/>
    <col min="9477" max="9477" width="9.28515625" customWidth="1"/>
    <col min="9478" max="9478" width="7.42578125" customWidth="1"/>
    <col min="9479" max="9484" width="8" customWidth="1"/>
    <col min="9485" max="9485" width="8.5703125" customWidth="1"/>
    <col min="9486" max="9486" width="8.42578125" customWidth="1"/>
    <col min="9487" max="9487" width="3.85546875" customWidth="1"/>
    <col min="9488" max="9488" width="3.42578125" customWidth="1"/>
    <col min="9489" max="9491" width="11.42578125" customWidth="1"/>
    <col min="9492" max="9492" width="10.28515625" customWidth="1"/>
    <col min="9493" max="9493" width="9.7109375" customWidth="1"/>
    <col min="9494" max="9494" width="9.42578125" customWidth="1"/>
    <col min="9729" max="9729" width="2.28515625" customWidth="1"/>
    <col min="9730" max="9730" width="6.28515625" customWidth="1"/>
    <col min="9731" max="9731" width="11.140625" customWidth="1"/>
    <col min="9732" max="9732" width="9.140625" customWidth="1"/>
    <col min="9733" max="9733" width="9.28515625" customWidth="1"/>
    <col min="9734" max="9734" width="7.42578125" customWidth="1"/>
    <col min="9735" max="9740" width="8" customWidth="1"/>
    <col min="9741" max="9741" width="8.5703125" customWidth="1"/>
    <col min="9742" max="9742" width="8.42578125" customWidth="1"/>
    <col min="9743" max="9743" width="3.85546875" customWidth="1"/>
    <col min="9744" max="9744" width="3.42578125" customWidth="1"/>
    <col min="9745" max="9747" width="11.42578125" customWidth="1"/>
    <col min="9748" max="9748" width="10.28515625" customWidth="1"/>
    <col min="9749" max="9749" width="9.7109375" customWidth="1"/>
    <col min="9750" max="9750" width="9.42578125" customWidth="1"/>
    <col min="9985" max="9985" width="2.28515625" customWidth="1"/>
    <col min="9986" max="9986" width="6.28515625" customWidth="1"/>
    <col min="9987" max="9987" width="11.140625" customWidth="1"/>
    <col min="9988" max="9988" width="9.140625" customWidth="1"/>
    <col min="9989" max="9989" width="9.28515625" customWidth="1"/>
    <col min="9990" max="9990" width="7.42578125" customWidth="1"/>
    <col min="9991" max="9996" width="8" customWidth="1"/>
    <col min="9997" max="9997" width="8.5703125" customWidth="1"/>
    <col min="9998" max="9998" width="8.42578125" customWidth="1"/>
    <col min="9999" max="9999" width="3.85546875" customWidth="1"/>
    <col min="10000" max="10000" width="3.42578125" customWidth="1"/>
    <col min="10001" max="10003" width="11.42578125" customWidth="1"/>
    <col min="10004" max="10004" width="10.28515625" customWidth="1"/>
    <col min="10005" max="10005" width="9.7109375" customWidth="1"/>
    <col min="10006" max="10006" width="9.42578125" customWidth="1"/>
    <col min="10241" max="10241" width="2.28515625" customWidth="1"/>
    <col min="10242" max="10242" width="6.28515625" customWidth="1"/>
    <col min="10243" max="10243" width="11.140625" customWidth="1"/>
    <col min="10244" max="10244" width="9.140625" customWidth="1"/>
    <col min="10245" max="10245" width="9.28515625" customWidth="1"/>
    <col min="10246" max="10246" width="7.42578125" customWidth="1"/>
    <col min="10247" max="10252" width="8" customWidth="1"/>
    <col min="10253" max="10253" width="8.5703125" customWidth="1"/>
    <col min="10254" max="10254" width="8.42578125" customWidth="1"/>
    <col min="10255" max="10255" width="3.85546875" customWidth="1"/>
    <col min="10256" max="10256" width="3.42578125" customWidth="1"/>
    <col min="10257" max="10259" width="11.42578125" customWidth="1"/>
    <col min="10260" max="10260" width="10.28515625" customWidth="1"/>
    <col min="10261" max="10261" width="9.7109375" customWidth="1"/>
    <col min="10262" max="10262" width="9.42578125" customWidth="1"/>
    <col min="10497" max="10497" width="2.28515625" customWidth="1"/>
    <col min="10498" max="10498" width="6.28515625" customWidth="1"/>
    <col min="10499" max="10499" width="11.140625" customWidth="1"/>
    <col min="10500" max="10500" width="9.140625" customWidth="1"/>
    <col min="10501" max="10501" width="9.28515625" customWidth="1"/>
    <col min="10502" max="10502" width="7.42578125" customWidth="1"/>
    <col min="10503" max="10508" width="8" customWidth="1"/>
    <col min="10509" max="10509" width="8.5703125" customWidth="1"/>
    <col min="10510" max="10510" width="8.42578125" customWidth="1"/>
    <col min="10511" max="10511" width="3.85546875" customWidth="1"/>
    <col min="10512" max="10512" width="3.42578125" customWidth="1"/>
    <col min="10513" max="10515" width="11.42578125" customWidth="1"/>
    <col min="10516" max="10516" width="10.28515625" customWidth="1"/>
    <col min="10517" max="10517" width="9.7109375" customWidth="1"/>
    <col min="10518" max="10518" width="9.42578125" customWidth="1"/>
    <col min="10753" max="10753" width="2.28515625" customWidth="1"/>
    <col min="10754" max="10754" width="6.28515625" customWidth="1"/>
    <col min="10755" max="10755" width="11.140625" customWidth="1"/>
    <col min="10756" max="10756" width="9.140625" customWidth="1"/>
    <col min="10757" max="10757" width="9.28515625" customWidth="1"/>
    <col min="10758" max="10758" width="7.42578125" customWidth="1"/>
    <col min="10759" max="10764" width="8" customWidth="1"/>
    <col min="10765" max="10765" width="8.5703125" customWidth="1"/>
    <col min="10766" max="10766" width="8.42578125" customWidth="1"/>
    <col min="10767" max="10767" width="3.85546875" customWidth="1"/>
    <col min="10768" max="10768" width="3.42578125" customWidth="1"/>
    <col min="10769" max="10771" width="11.42578125" customWidth="1"/>
    <col min="10772" max="10772" width="10.28515625" customWidth="1"/>
    <col min="10773" max="10773" width="9.7109375" customWidth="1"/>
    <col min="10774" max="10774" width="9.42578125" customWidth="1"/>
    <col min="11009" max="11009" width="2.28515625" customWidth="1"/>
    <col min="11010" max="11010" width="6.28515625" customWidth="1"/>
    <col min="11011" max="11011" width="11.140625" customWidth="1"/>
    <col min="11012" max="11012" width="9.140625" customWidth="1"/>
    <col min="11013" max="11013" width="9.28515625" customWidth="1"/>
    <col min="11014" max="11014" width="7.42578125" customWidth="1"/>
    <col min="11015" max="11020" width="8" customWidth="1"/>
    <col min="11021" max="11021" width="8.5703125" customWidth="1"/>
    <col min="11022" max="11022" width="8.42578125" customWidth="1"/>
    <col min="11023" max="11023" width="3.85546875" customWidth="1"/>
    <col min="11024" max="11024" width="3.42578125" customWidth="1"/>
    <col min="11025" max="11027" width="11.42578125" customWidth="1"/>
    <col min="11028" max="11028" width="10.28515625" customWidth="1"/>
    <col min="11029" max="11029" width="9.7109375" customWidth="1"/>
    <col min="11030" max="11030" width="9.42578125" customWidth="1"/>
    <col min="11265" max="11265" width="2.28515625" customWidth="1"/>
    <col min="11266" max="11266" width="6.28515625" customWidth="1"/>
    <col min="11267" max="11267" width="11.140625" customWidth="1"/>
    <col min="11268" max="11268" width="9.140625" customWidth="1"/>
    <col min="11269" max="11269" width="9.28515625" customWidth="1"/>
    <col min="11270" max="11270" width="7.42578125" customWidth="1"/>
    <col min="11271" max="11276" width="8" customWidth="1"/>
    <col min="11277" max="11277" width="8.5703125" customWidth="1"/>
    <col min="11278" max="11278" width="8.42578125" customWidth="1"/>
    <col min="11279" max="11279" width="3.85546875" customWidth="1"/>
    <col min="11280" max="11280" width="3.42578125" customWidth="1"/>
    <col min="11281" max="11283" width="11.42578125" customWidth="1"/>
    <col min="11284" max="11284" width="10.28515625" customWidth="1"/>
    <col min="11285" max="11285" width="9.7109375" customWidth="1"/>
    <col min="11286" max="11286" width="9.42578125" customWidth="1"/>
    <col min="11521" max="11521" width="2.28515625" customWidth="1"/>
    <col min="11522" max="11522" width="6.28515625" customWidth="1"/>
    <col min="11523" max="11523" width="11.140625" customWidth="1"/>
    <col min="11524" max="11524" width="9.140625" customWidth="1"/>
    <col min="11525" max="11525" width="9.28515625" customWidth="1"/>
    <col min="11526" max="11526" width="7.42578125" customWidth="1"/>
    <col min="11527" max="11532" width="8" customWidth="1"/>
    <col min="11533" max="11533" width="8.5703125" customWidth="1"/>
    <col min="11534" max="11534" width="8.42578125" customWidth="1"/>
    <col min="11535" max="11535" width="3.85546875" customWidth="1"/>
    <col min="11536" max="11536" width="3.42578125" customWidth="1"/>
    <col min="11537" max="11539" width="11.42578125" customWidth="1"/>
    <col min="11540" max="11540" width="10.28515625" customWidth="1"/>
    <col min="11541" max="11541" width="9.7109375" customWidth="1"/>
    <col min="11542" max="11542" width="9.42578125" customWidth="1"/>
    <col min="11777" max="11777" width="2.28515625" customWidth="1"/>
    <col min="11778" max="11778" width="6.28515625" customWidth="1"/>
    <col min="11779" max="11779" width="11.140625" customWidth="1"/>
    <col min="11780" max="11780" width="9.140625" customWidth="1"/>
    <col min="11781" max="11781" width="9.28515625" customWidth="1"/>
    <col min="11782" max="11782" width="7.42578125" customWidth="1"/>
    <col min="11783" max="11788" width="8" customWidth="1"/>
    <col min="11789" max="11789" width="8.5703125" customWidth="1"/>
    <col min="11790" max="11790" width="8.42578125" customWidth="1"/>
    <col min="11791" max="11791" width="3.85546875" customWidth="1"/>
    <col min="11792" max="11792" width="3.42578125" customWidth="1"/>
    <col min="11793" max="11795" width="11.42578125" customWidth="1"/>
    <col min="11796" max="11796" width="10.28515625" customWidth="1"/>
    <col min="11797" max="11797" width="9.7109375" customWidth="1"/>
    <col min="11798" max="11798" width="9.42578125" customWidth="1"/>
    <col min="12033" max="12033" width="2.28515625" customWidth="1"/>
    <col min="12034" max="12034" width="6.28515625" customWidth="1"/>
    <col min="12035" max="12035" width="11.140625" customWidth="1"/>
    <col min="12036" max="12036" width="9.140625" customWidth="1"/>
    <col min="12037" max="12037" width="9.28515625" customWidth="1"/>
    <col min="12038" max="12038" width="7.42578125" customWidth="1"/>
    <col min="12039" max="12044" width="8" customWidth="1"/>
    <col min="12045" max="12045" width="8.5703125" customWidth="1"/>
    <col min="12046" max="12046" width="8.42578125" customWidth="1"/>
    <col min="12047" max="12047" width="3.85546875" customWidth="1"/>
    <col min="12048" max="12048" width="3.42578125" customWidth="1"/>
    <col min="12049" max="12051" width="11.42578125" customWidth="1"/>
    <col min="12052" max="12052" width="10.28515625" customWidth="1"/>
    <col min="12053" max="12053" width="9.7109375" customWidth="1"/>
    <col min="12054" max="12054" width="9.42578125" customWidth="1"/>
    <col min="12289" max="12289" width="2.28515625" customWidth="1"/>
    <col min="12290" max="12290" width="6.28515625" customWidth="1"/>
    <col min="12291" max="12291" width="11.140625" customWidth="1"/>
    <col min="12292" max="12292" width="9.140625" customWidth="1"/>
    <col min="12293" max="12293" width="9.28515625" customWidth="1"/>
    <col min="12294" max="12294" width="7.42578125" customWidth="1"/>
    <col min="12295" max="12300" width="8" customWidth="1"/>
    <col min="12301" max="12301" width="8.5703125" customWidth="1"/>
    <col min="12302" max="12302" width="8.42578125" customWidth="1"/>
    <col min="12303" max="12303" width="3.85546875" customWidth="1"/>
    <col min="12304" max="12304" width="3.42578125" customWidth="1"/>
    <col min="12305" max="12307" width="11.42578125" customWidth="1"/>
    <col min="12308" max="12308" width="10.28515625" customWidth="1"/>
    <col min="12309" max="12309" width="9.7109375" customWidth="1"/>
    <col min="12310" max="12310" width="9.42578125" customWidth="1"/>
    <col min="12545" max="12545" width="2.28515625" customWidth="1"/>
    <col min="12546" max="12546" width="6.28515625" customWidth="1"/>
    <col min="12547" max="12547" width="11.140625" customWidth="1"/>
    <col min="12548" max="12548" width="9.140625" customWidth="1"/>
    <col min="12549" max="12549" width="9.28515625" customWidth="1"/>
    <col min="12550" max="12550" width="7.42578125" customWidth="1"/>
    <col min="12551" max="12556" width="8" customWidth="1"/>
    <col min="12557" max="12557" width="8.5703125" customWidth="1"/>
    <col min="12558" max="12558" width="8.42578125" customWidth="1"/>
    <col min="12559" max="12559" width="3.85546875" customWidth="1"/>
    <col min="12560" max="12560" width="3.42578125" customWidth="1"/>
    <col min="12561" max="12563" width="11.42578125" customWidth="1"/>
    <col min="12564" max="12564" width="10.28515625" customWidth="1"/>
    <col min="12565" max="12565" width="9.7109375" customWidth="1"/>
    <col min="12566" max="12566" width="9.42578125" customWidth="1"/>
    <col min="12801" max="12801" width="2.28515625" customWidth="1"/>
    <col min="12802" max="12802" width="6.28515625" customWidth="1"/>
    <col min="12803" max="12803" width="11.140625" customWidth="1"/>
    <col min="12804" max="12804" width="9.140625" customWidth="1"/>
    <col min="12805" max="12805" width="9.28515625" customWidth="1"/>
    <col min="12806" max="12806" width="7.42578125" customWidth="1"/>
    <col min="12807" max="12812" width="8" customWidth="1"/>
    <col min="12813" max="12813" width="8.5703125" customWidth="1"/>
    <col min="12814" max="12814" width="8.42578125" customWidth="1"/>
    <col min="12815" max="12815" width="3.85546875" customWidth="1"/>
    <col min="12816" max="12816" width="3.42578125" customWidth="1"/>
    <col min="12817" max="12819" width="11.42578125" customWidth="1"/>
    <col min="12820" max="12820" width="10.28515625" customWidth="1"/>
    <col min="12821" max="12821" width="9.7109375" customWidth="1"/>
    <col min="12822" max="12822" width="9.42578125" customWidth="1"/>
    <col min="13057" max="13057" width="2.28515625" customWidth="1"/>
    <col min="13058" max="13058" width="6.28515625" customWidth="1"/>
    <col min="13059" max="13059" width="11.140625" customWidth="1"/>
    <col min="13060" max="13060" width="9.140625" customWidth="1"/>
    <col min="13061" max="13061" width="9.28515625" customWidth="1"/>
    <col min="13062" max="13062" width="7.42578125" customWidth="1"/>
    <col min="13063" max="13068" width="8" customWidth="1"/>
    <col min="13069" max="13069" width="8.5703125" customWidth="1"/>
    <col min="13070" max="13070" width="8.42578125" customWidth="1"/>
    <col min="13071" max="13071" width="3.85546875" customWidth="1"/>
    <col min="13072" max="13072" width="3.42578125" customWidth="1"/>
    <col min="13073" max="13075" width="11.42578125" customWidth="1"/>
    <col min="13076" max="13076" width="10.28515625" customWidth="1"/>
    <col min="13077" max="13077" width="9.7109375" customWidth="1"/>
    <col min="13078" max="13078" width="9.42578125" customWidth="1"/>
    <col min="13313" max="13313" width="2.28515625" customWidth="1"/>
    <col min="13314" max="13314" width="6.28515625" customWidth="1"/>
    <col min="13315" max="13315" width="11.140625" customWidth="1"/>
    <col min="13316" max="13316" width="9.140625" customWidth="1"/>
    <col min="13317" max="13317" width="9.28515625" customWidth="1"/>
    <col min="13318" max="13318" width="7.42578125" customWidth="1"/>
    <col min="13319" max="13324" width="8" customWidth="1"/>
    <col min="13325" max="13325" width="8.5703125" customWidth="1"/>
    <col min="13326" max="13326" width="8.42578125" customWidth="1"/>
    <col min="13327" max="13327" width="3.85546875" customWidth="1"/>
    <col min="13328" max="13328" width="3.42578125" customWidth="1"/>
    <col min="13329" max="13331" width="11.42578125" customWidth="1"/>
    <col min="13332" max="13332" width="10.28515625" customWidth="1"/>
    <col min="13333" max="13333" width="9.7109375" customWidth="1"/>
    <col min="13334" max="13334" width="9.42578125" customWidth="1"/>
    <col min="13569" max="13569" width="2.28515625" customWidth="1"/>
    <col min="13570" max="13570" width="6.28515625" customWidth="1"/>
    <col min="13571" max="13571" width="11.140625" customWidth="1"/>
    <col min="13572" max="13572" width="9.140625" customWidth="1"/>
    <col min="13573" max="13573" width="9.28515625" customWidth="1"/>
    <col min="13574" max="13574" width="7.42578125" customWidth="1"/>
    <col min="13575" max="13580" width="8" customWidth="1"/>
    <col min="13581" max="13581" width="8.5703125" customWidth="1"/>
    <col min="13582" max="13582" width="8.42578125" customWidth="1"/>
    <col min="13583" max="13583" width="3.85546875" customWidth="1"/>
    <col min="13584" max="13584" width="3.42578125" customWidth="1"/>
    <col min="13585" max="13587" width="11.42578125" customWidth="1"/>
    <col min="13588" max="13588" width="10.28515625" customWidth="1"/>
    <col min="13589" max="13589" width="9.7109375" customWidth="1"/>
    <col min="13590" max="13590" width="9.42578125" customWidth="1"/>
    <col min="13825" max="13825" width="2.28515625" customWidth="1"/>
    <col min="13826" max="13826" width="6.28515625" customWidth="1"/>
    <col min="13827" max="13827" width="11.140625" customWidth="1"/>
    <col min="13828" max="13828" width="9.140625" customWidth="1"/>
    <col min="13829" max="13829" width="9.28515625" customWidth="1"/>
    <col min="13830" max="13830" width="7.42578125" customWidth="1"/>
    <col min="13831" max="13836" width="8" customWidth="1"/>
    <col min="13837" max="13837" width="8.5703125" customWidth="1"/>
    <col min="13838" max="13838" width="8.42578125" customWidth="1"/>
    <col min="13839" max="13839" width="3.85546875" customWidth="1"/>
    <col min="13840" max="13840" width="3.42578125" customWidth="1"/>
    <col min="13841" max="13843" width="11.42578125" customWidth="1"/>
    <col min="13844" max="13844" width="10.28515625" customWidth="1"/>
    <col min="13845" max="13845" width="9.7109375" customWidth="1"/>
    <col min="13846" max="13846" width="9.42578125" customWidth="1"/>
    <col min="14081" max="14081" width="2.28515625" customWidth="1"/>
    <col min="14082" max="14082" width="6.28515625" customWidth="1"/>
    <col min="14083" max="14083" width="11.140625" customWidth="1"/>
    <col min="14084" max="14084" width="9.140625" customWidth="1"/>
    <col min="14085" max="14085" width="9.28515625" customWidth="1"/>
    <col min="14086" max="14086" width="7.42578125" customWidth="1"/>
    <col min="14087" max="14092" width="8" customWidth="1"/>
    <col min="14093" max="14093" width="8.5703125" customWidth="1"/>
    <col min="14094" max="14094" width="8.42578125" customWidth="1"/>
    <col min="14095" max="14095" width="3.85546875" customWidth="1"/>
    <col min="14096" max="14096" width="3.42578125" customWidth="1"/>
    <col min="14097" max="14099" width="11.42578125" customWidth="1"/>
    <col min="14100" max="14100" width="10.28515625" customWidth="1"/>
    <col min="14101" max="14101" width="9.7109375" customWidth="1"/>
    <col min="14102" max="14102" width="9.42578125" customWidth="1"/>
    <col min="14337" max="14337" width="2.28515625" customWidth="1"/>
    <col min="14338" max="14338" width="6.28515625" customWidth="1"/>
    <col min="14339" max="14339" width="11.140625" customWidth="1"/>
    <col min="14340" max="14340" width="9.140625" customWidth="1"/>
    <col min="14341" max="14341" width="9.28515625" customWidth="1"/>
    <col min="14342" max="14342" width="7.42578125" customWidth="1"/>
    <col min="14343" max="14348" width="8" customWidth="1"/>
    <col min="14349" max="14349" width="8.5703125" customWidth="1"/>
    <col min="14350" max="14350" width="8.42578125" customWidth="1"/>
    <col min="14351" max="14351" width="3.85546875" customWidth="1"/>
    <col min="14352" max="14352" width="3.42578125" customWidth="1"/>
    <col min="14353" max="14355" width="11.42578125" customWidth="1"/>
    <col min="14356" max="14356" width="10.28515625" customWidth="1"/>
    <col min="14357" max="14357" width="9.7109375" customWidth="1"/>
    <col min="14358" max="14358" width="9.42578125" customWidth="1"/>
    <col min="14593" max="14593" width="2.28515625" customWidth="1"/>
    <col min="14594" max="14594" width="6.28515625" customWidth="1"/>
    <col min="14595" max="14595" width="11.140625" customWidth="1"/>
    <col min="14596" max="14596" width="9.140625" customWidth="1"/>
    <col min="14597" max="14597" width="9.28515625" customWidth="1"/>
    <col min="14598" max="14598" width="7.42578125" customWidth="1"/>
    <col min="14599" max="14604" width="8" customWidth="1"/>
    <col min="14605" max="14605" width="8.5703125" customWidth="1"/>
    <col min="14606" max="14606" width="8.42578125" customWidth="1"/>
    <col min="14607" max="14607" width="3.85546875" customWidth="1"/>
    <col min="14608" max="14608" width="3.42578125" customWidth="1"/>
    <col min="14609" max="14611" width="11.42578125" customWidth="1"/>
    <col min="14612" max="14612" width="10.28515625" customWidth="1"/>
    <col min="14613" max="14613" width="9.7109375" customWidth="1"/>
    <col min="14614" max="14614" width="9.42578125" customWidth="1"/>
    <col min="14849" max="14849" width="2.28515625" customWidth="1"/>
    <col min="14850" max="14850" width="6.28515625" customWidth="1"/>
    <col min="14851" max="14851" width="11.140625" customWidth="1"/>
    <col min="14852" max="14852" width="9.140625" customWidth="1"/>
    <col min="14853" max="14853" width="9.28515625" customWidth="1"/>
    <col min="14854" max="14854" width="7.42578125" customWidth="1"/>
    <col min="14855" max="14860" width="8" customWidth="1"/>
    <col min="14861" max="14861" width="8.5703125" customWidth="1"/>
    <col min="14862" max="14862" width="8.42578125" customWidth="1"/>
    <col min="14863" max="14863" width="3.85546875" customWidth="1"/>
    <col min="14864" max="14864" width="3.42578125" customWidth="1"/>
    <col min="14865" max="14867" width="11.42578125" customWidth="1"/>
    <col min="14868" max="14868" width="10.28515625" customWidth="1"/>
    <col min="14869" max="14869" width="9.7109375" customWidth="1"/>
    <col min="14870" max="14870" width="9.42578125" customWidth="1"/>
    <col min="15105" max="15105" width="2.28515625" customWidth="1"/>
    <col min="15106" max="15106" width="6.28515625" customWidth="1"/>
    <col min="15107" max="15107" width="11.140625" customWidth="1"/>
    <col min="15108" max="15108" width="9.140625" customWidth="1"/>
    <col min="15109" max="15109" width="9.28515625" customWidth="1"/>
    <col min="15110" max="15110" width="7.42578125" customWidth="1"/>
    <col min="15111" max="15116" width="8" customWidth="1"/>
    <col min="15117" max="15117" width="8.5703125" customWidth="1"/>
    <col min="15118" max="15118" width="8.42578125" customWidth="1"/>
    <col min="15119" max="15119" width="3.85546875" customWidth="1"/>
    <col min="15120" max="15120" width="3.42578125" customWidth="1"/>
    <col min="15121" max="15123" width="11.42578125" customWidth="1"/>
    <col min="15124" max="15124" width="10.28515625" customWidth="1"/>
    <col min="15125" max="15125" width="9.7109375" customWidth="1"/>
    <col min="15126" max="15126" width="9.42578125" customWidth="1"/>
    <col min="15361" max="15361" width="2.28515625" customWidth="1"/>
    <col min="15362" max="15362" width="6.28515625" customWidth="1"/>
    <col min="15363" max="15363" width="11.140625" customWidth="1"/>
    <col min="15364" max="15364" width="9.140625" customWidth="1"/>
    <col min="15365" max="15365" width="9.28515625" customWidth="1"/>
    <col min="15366" max="15366" width="7.42578125" customWidth="1"/>
    <col min="15367" max="15372" width="8" customWidth="1"/>
    <col min="15373" max="15373" width="8.5703125" customWidth="1"/>
    <col min="15374" max="15374" width="8.42578125" customWidth="1"/>
    <col min="15375" max="15375" width="3.85546875" customWidth="1"/>
    <col min="15376" max="15376" width="3.42578125" customWidth="1"/>
    <col min="15377" max="15379" width="11.42578125" customWidth="1"/>
    <col min="15380" max="15380" width="10.28515625" customWidth="1"/>
    <col min="15381" max="15381" width="9.7109375" customWidth="1"/>
    <col min="15382" max="15382" width="9.42578125" customWidth="1"/>
    <col min="15617" max="15617" width="2.28515625" customWidth="1"/>
    <col min="15618" max="15618" width="6.28515625" customWidth="1"/>
    <col min="15619" max="15619" width="11.140625" customWidth="1"/>
    <col min="15620" max="15620" width="9.140625" customWidth="1"/>
    <col min="15621" max="15621" width="9.28515625" customWidth="1"/>
    <col min="15622" max="15622" width="7.42578125" customWidth="1"/>
    <col min="15623" max="15628" width="8" customWidth="1"/>
    <col min="15629" max="15629" width="8.5703125" customWidth="1"/>
    <col min="15630" max="15630" width="8.42578125" customWidth="1"/>
    <col min="15631" max="15631" width="3.85546875" customWidth="1"/>
    <col min="15632" max="15632" width="3.42578125" customWidth="1"/>
    <col min="15633" max="15635" width="11.42578125" customWidth="1"/>
    <col min="15636" max="15636" width="10.28515625" customWidth="1"/>
    <col min="15637" max="15637" width="9.7109375" customWidth="1"/>
    <col min="15638" max="15638" width="9.42578125" customWidth="1"/>
    <col min="15873" max="15873" width="2.28515625" customWidth="1"/>
    <col min="15874" max="15874" width="6.28515625" customWidth="1"/>
    <col min="15875" max="15875" width="11.140625" customWidth="1"/>
    <col min="15876" max="15876" width="9.140625" customWidth="1"/>
    <col min="15877" max="15877" width="9.28515625" customWidth="1"/>
    <col min="15878" max="15878" width="7.42578125" customWidth="1"/>
    <col min="15879" max="15884" width="8" customWidth="1"/>
    <col min="15885" max="15885" width="8.5703125" customWidth="1"/>
    <col min="15886" max="15886" width="8.42578125" customWidth="1"/>
    <col min="15887" max="15887" width="3.85546875" customWidth="1"/>
    <col min="15888" max="15888" width="3.42578125" customWidth="1"/>
    <col min="15889" max="15891" width="11.42578125" customWidth="1"/>
    <col min="15892" max="15892" width="10.28515625" customWidth="1"/>
    <col min="15893" max="15893" width="9.7109375" customWidth="1"/>
    <col min="15894" max="15894" width="9.42578125" customWidth="1"/>
    <col min="16129" max="16129" width="2.28515625" customWidth="1"/>
    <col min="16130" max="16130" width="6.28515625" customWidth="1"/>
    <col min="16131" max="16131" width="11.140625" customWidth="1"/>
    <col min="16132" max="16132" width="9.140625" customWidth="1"/>
    <col min="16133" max="16133" width="9.28515625" customWidth="1"/>
    <col min="16134" max="16134" width="7.42578125" customWidth="1"/>
    <col min="16135" max="16140" width="8" customWidth="1"/>
    <col min="16141" max="16141" width="8.5703125" customWidth="1"/>
    <col min="16142" max="16142" width="8.42578125" customWidth="1"/>
    <col min="16143" max="16143" width="3.85546875" customWidth="1"/>
    <col min="16144" max="16144" width="3.42578125" customWidth="1"/>
    <col min="16145" max="16147" width="11.42578125" customWidth="1"/>
    <col min="16148" max="16148" width="10.28515625" customWidth="1"/>
    <col min="16149" max="16149" width="9.7109375" customWidth="1"/>
    <col min="16150" max="16150" width="9.42578125" customWidth="1"/>
  </cols>
  <sheetData>
    <row r="2" spans="2:22" ht="15.75" x14ac:dyDescent="0.25">
      <c r="B2" s="44"/>
      <c r="C2" s="175" t="s">
        <v>69</v>
      </c>
      <c r="Q2" s="175" t="s">
        <v>70</v>
      </c>
    </row>
    <row r="3" spans="2:22" x14ac:dyDescent="0.25">
      <c r="B3" s="44"/>
      <c r="C3" s="44"/>
      <c r="Q3" s="44"/>
    </row>
    <row r="4" spans="2:22" x14ac:dyDescent="0.25">
      <c r="B4" s="44"/>
      <c r="C4" s="44" t="s">
        <v>71</v>
      </c>
      <c r="Q4" s="44" t="s">
        <v>72</v>
      </c>
    </row>
    <row r="5" spans="2:22" x14ac:dyDescent="0.25">
      <c r="B5" s="44"/>
      <c r="C5" s="44" t="s">
        <v>73</v>
      </c>
      <c r="Q5" s="44" t="s">
        <v>73</v>
      </c>
    </row>
    <row r="6" spans="2:22" x14ac:dyDescent="0.25">
      <c r="B6" s="44"/>
      <c r="C6" s="44" t="s">
        <v>74</v>
      </c>
      <c r="Q6" s="44"/>
    </row>
    <row r="7" spans="2:22" ht="15.75" thickBot="1" x14ac:dyDescent="0.3">
      <c r="B7" s="44"/>
      <c r="C7" s="176" t="s">
        <v>75</v>
      </c>
      <c r="Q7" s="44"/>
    </row>
    <row r="8" spans="2:22" ht="15.75" thickBot="1" x14ac:dyDescent="0.3">
      <c r="B8" s="44"/>
      <c r="C8" s="92"/>
      <c r="D8" s="177">
        <f>INDEX(Regional_data,Select3,10)*1000</f>
        <v>380</v>
      </c>
      <c r="E8" s="92"/>
      <c r="F8" s="178">
        <f>INDEX(Regional_data,Select3,11)</f>
        <v>0.9</v>
      </c>
      <c r="G8" s="179">
        <f>INDEX(Regional_data,Select3,3)/100</f>
        <v>0.30099999999999999</v>
      </c>
      <c r="H8" s="180">
        <f>INDEX(Regional_data,Select3,5)/100</f>
        <v>0</v>
      </c>
      <c r="I8" s="180">
        <f>INDEX(Regional_data,Select3,1)/100</f>
        <v>0.218</v>
      </c>
      <c r="J8" s="180">
        <f>INDEX(Regional_data,Select3,4)/100</f>
        <v>7.4999999999999997E-2</v>
      </c>
      <c r="K8" s="180">
        <f>INDEX(Regional_data,Select3,2)/100</f>
        <v>4.7E-2</v>
      </c>
      <c r="L8" s="180">
        <f>INDEX(Regional_data,Select3,6)/100</f>
        <v>0</v>
      </c>
      <c r="M8" s="180">
        <f>1-SUM(G8:L8)</f>
        <v>0.35899999999999999</v>
      </c>
      <c r="N8" s="181">
        <f>SUM(G8:M8)</f>
        <v>1</v>
      </c>
      <c r="Q8" s="44"/>
      <c r="R8" s="44"/>
    </row>
    <row r="9" spans="2:22" ht="15.75" thickBot="1" x14ac:dyDescent="0.3">
      <c r="G9" s="713" t="s">
        <v>76</v>
      </c>
      <c r="H9" s="714"/>
      <c r="I9" s="714"/>
      <c r="J9" s="714"/>
      <c r="K9" s="714"/>
      <c r="L9" s="714"/>
      <c r="M9" s="714"/>
      <c r="N9" s="182"/>
    </row>
    <row r="10" spans="2:22" s="187" customFormat="1" ht="38.25" x14ac:dyDescent="0.2">
      <c r="B10" s="183" t="s">
        <v>66</v>
      </c>
      <c r="C10" s="134" t="s">
        <v>77</v>
      </c>
      <c r="D10" s="183" t="s">
        <v>78</v>
      </c>
      <c r="E10" s="134" t="s">
        <v>79</v>
      </c>
      <c r="F10" s="134" t="s">
        <v>80</v>
      </c>
      <c r="G10" s="184" t="s">
        <v>81</v>
      </c>
      <c r="H10" s="184" t="s">
        <v>22</v>
      </c>
      <c r="I10" s="185" t="s">
        <v>23</v>
      </c>
      <c r="J10" s="185" t="s">
        <v>82</v>
      </c>
      <c r="K10" s="185" t="s">
        <v>83</v>
      </c>
      <c r="L10" s="185" t="s">
        <v>84</v>
      </c>
      <c r="M10" s="186" t="s">
        <v>85</v>
      </c>
      <c r="N10" s="134" t="s">
        <v>86</v>
      </c>
      <c r="Q10" s="183" t="s">
        <v>66</v>
      </c>
      <c r="R10" s="134" t="s">
        <v>87</v>
      </c>
      <c r="S10" s="183" t="s">
        <v>88</v>
      </c>
      <c r="T10" s="134" t="s">
        <v>89</v>
      </c>
      <c r="U10" s="183" t="s">
        <v>80</v>
      </c>
      <c r="V10" s="134" t="s">
        <v>90</v>
      </c>
    </row>
    <row r="11" spans="2:22" s="193" customFormat="1" ht="30.75" thickBot="1" x14ac:dyDescent="0.3">
      <c r="B11" s="188"/>
      <c r="C11" s="189" t="s">
        <v>91</v>
      </c>
      <c r="D11" s="188" t="s">
        <v>92</v>
      </c>
      <c r="E11" s="190" t="s">
        <v>93</v>
      </c>
      <c r="F11" s="190" t="s">
        <v>67</v>
      </c>
      <c r="G11" s="191" t="s">
        <v>67</v>
      </c>
      <c r="H11" s="159" t="s">
        <v>67</v>
      </c>
      <c r="I11" s="159" t="s">
        <v>67</v>
      </c>
      <c r="J11" s="159" t="s">
        <v>67</v>
      </c>
      <c r="K11" s="159" t="s">
        <v>67</v>
      </c>
      <c r="L11" s="159" t="s">
        <v>67</v>
      </c>
      <c r="M11" s="192" t="s">
        <v>67</v>
      </c>
      <c r="N11" s="189" t="s">
        <v>94</v>
      </c>
      <c r="Q11" s="188"/>
      <c r="R11" s="189" t="s">
        <v>95</v>
      </c>
      <c r="S11" s="188" t="s">
        <v>96</v>
      </c>
      <c r="T11" s="189" t="s">
        <v>93</v>
      </c>
      <c r="U11" s="194" t="s">
        <v>67</v>
      </c>
      <c r="V11" s="189" t="s">
        <v>93</v>
      </c>
    </row>
    <row r="12" spans="2:22" x14ac:dyDescent="0.25">
      <c r="B12" s="195">
        <f>year</f>
        <v>1950</v>
      </c>
      <c r="C12" s="75">
        <v>10</v>
      </c>
      <c r="D12" s="196">
        <f>D$8</f>
        <v>380</v>
      </c>
      <c r="E12" s="197">
        <f>C12*D12</f>
        <v>3800</v>
      </c>
      <c r="F12" s="198">
        <f t="shared" ref="F12:L27" si="0">F$8</f>
        <v>0.9</v>
      </c>
      <c r="G12" s="199">
        <f t="shared" si="0"/>
        <v>0.30099999999999999</v>
      </c>
      <c r="H12" s="199">
        <f t="shared" si="0"/>
        <v>0</v>
      </c>
      <c r="I12" s="199">
        <f t="shared" si="0"/>
        <v>0.218</v>
      </c>
      <c r="J12" s="199">
        <f t="shared" si="0"/>
        <v>7.4999999999999997E-2</v>
      </c>
      <c r="K12" s="199">
        <f t="shared" si="0"/>
        <v>4.7E-2</v>
      </c>
      <c r="L12" s="199">
        <f t="shared" si="0"/>
        <v>0</v>
      </c>
      <c r="M12" s="199">
        <f>1-SUM(G12:L12)</f>
        <v>0.35899999999999999</v>
      </c>
      <c r="N12" s="200">
        <f>SUM(G12:M12)</f>
        <v>1</v>
      </c>
      <c r="Q12" s="195">
        <f>year</f>
        <v>1950</v>
      </c>
      <c r="R12" s="38">
        <v>100</v>
      </c>
      <c r="S12" s="38">
        <v>0</v>
      </c>
      <c r="T12" s="201">
        <f>R12*S12</f>
        <v>0</v>
      </c>
      <c r="U12" s="202">
        <v>1</v>
      </c>
      <c r="V12" s="40">
        <f t="shared" ref="V12:V75" si="1">T12*U12</f>
        <v>0</v>
      </c>
    </row>
    <row r="13" spans="2:22" x14ac:dyDescent="0.25">
      <c r="B13" s="203">
        <f t="shared" ref="B13:B76" si="2">B12+1</f>
        <v>1951</v>
      </c>
      <c r="C13" s="75">
        <v>10</v>
      </c>
      <c r="D13" s="196">
        <f t="shared" ref="D13:D52" si="3">D$8</f>
        <v>380</v>
      </c>
      <c r="E13" s="204">
        <f t="shared" ref="E13:E76" si="4">C13*D13</f>
        <v>3800</v>
      </c>
      <c r="F13" s="198">
        <f t="shared" si="0"/>
        <v>0.9</v>
      </c>
      <c r="G13" s="199">
        <f t="shared" si="0"/>
        <v>0.30099999999999999</v>
      </c>
      <c r="H13" s="199">
        <f t="shared" si="0"/>
        <v>0</v>
      </c>
      <c r="I13" s="199">
        <f t="shared" si="0"/>
        <v>0.218</v>
      </c>
      <c r="J13" s="199">
        <f t="shared" si="0"/>
        <v>7.4999999999999997E-2</v>
      </c>
      <c r="K13" s="199">
        <f t="shared" si="0"/>
        <v>4.7E-2</v>
      </c>
      <c r="L13" s="199">
        <f t="shared" si="0"/>
        <v>0</v>
      </c>
      <c r="M13" s="199">
        <f t="shared" ref="M13:M76" si="5">1-SUM(G13:L13)</f>
        <v>0.35899999999999999</v>
      </c>
      <c r="N13" s="205">
        <f>SUM(G13:M13)</f>
        <v>1</v>
      </c>
      <c r="Q13" s="203">
        <f t="shared" ref="Q13:Q76" si="6">Q12+1</f>
        <v>1951</v>
      </c>
      <c r="R13" s="75">
        <v>100</v>
      </c>
      <c r="S13" s="75">
        <v>0</v>
      </c>
      <c r="T13" s="206">
        <f>R13*S13</f>
        <v>0</v>
      </c>
      <c r="U13" s="207">
        <v>1</v>
      </c>
      <c r="V13" s="43">
        <f t="shared" si="1"/>
        <v>0</v>
      </c>
    </row>
    <row r="14" spans="2:22" x14ac:dyDescent="0.25">
      <c r="B14" s="203">
        <f t="shared" si="2"/>
        <v>1952</v>
      </c>
      <c r="C14" s="75">
        <v>10</v>
      </c>
      <c r="D14" s="196">
        <f t="shared" si="3"/>
        <v>380</v>
      </c>
      <c r="E14" s="204">
        <f t="shared" si="4"/>
        <v>3800</v>
      </c>
      <c r="F14" s="198">
        <f t="shared" si="0"/>
        <v>0.9</v>
      </c>
      <c r="G14" s="199">
        <f t="shared" si="0"/>
        <v>0.30099999999999999</v>
      </c>
      <c r="H14" s="199">
        <f t="shared" si="0"/>
        <v>0</v>
      </c>
      <c r="I14" s="199">
        <f t="shared" si="0"/>
        <v>0.218</v>
      </c>
      <c r="J14" s="199">
        <f t="shared" si="0"/>
        <v>7.4999999999999997E-2</v>
      </c>
      <c r="K14" s="199">
        <f t="shared" si="0"/>
        <v>4.7E-2</v>
      </c>
      <c r="L14" s="199">
        <f t="shared" si="0"/>
        <v>0</v>
      </c>
      <c r="M14" s="199">
        <f t="shared" si="5"/>
        <v>0.35899999999999999</v>
      </c>
      <c r="N14" s="205">
        <f t="shared" ref="N14:N77" si="7">SUM(G14:M14)</f>
        <v>1</v>
      </c>
      <c r="Q14" s="203">
        <f t="shared" si="6"/>
        <v>1952</v>
      </c>
      <c r="R14" s="75">
        <v>100</v>
      </c>
      <c r="S14" s="75">
        <v>0</v>
      </c>
      <c r="T14" s="206">
        <f t="shared" ref="T14:T77" si="8">R14*S14</f>
        <v>0</v>
      </c>
      <c r="U14" s="207">
        <v>1</v>
      </c>
      <c r="V14" s="43">
        <f t="shared" si="1"/>
        <v>0</v>
      </c>
    </row>
    <row r="15" spans="2:22" x14ac:dyDescent="0.25">
      <c r="B15" s="203">
        <f t="shared" si="2"/>
        <v>1953</v>
      </c>
      <c r="C15" s="75">
        <v>10</v>
      </c>
      <c r="D15" s="196">
        <f t="shared" si="3"/>
        <v>380</v>
      </c>
      <c r="E15" s="204">
        <f t="shared" si="4"/>
        <v>3800</v>
      </c>
      <c r="F15" s="198">
        <f t="shared" si="0"/>
        <v>0.9</v>
      </c>
      <c r="G15" s="199">
        <f t="shared" si="0"/>
        <v>0.30099999999999999</v>
      </c>
      <c r="H15" s="199">
        <f t="shared" si="0"/>
        <v>0</v>
      </c>
      <c r="I15" s="199">
        <f t="shared" si="0"/>
        <v>0.218</v>
      </c>
      <c r="J15" s="199">
        <f t="shared" si="0"/>
        <v>7.4999999999999997E-2</v>
      </c>
      <c r="K15" s="199">
        <f t="shared" si="0"/>
        <v>4.7E-2</v>
      </c>
      <c r="L15" s="199">
        <f t="shared" si="0"/>
        <v>0</v>
      </c>
      <c r="M15" s="199">
        <f t="shared" si="5"/>
        <v>0.35899999999999999</v>
      </c>
      <c r="N15" s="205">
        <f t="shared" si="7"/>
        <v>1</v>
      </c>
      <c r="Q15" s="203">
        <f t="shared" si="6"/>
        <v>1953</v>
      </c>
      <c r="R15" s="75">
        <v>100</v>
      </c>
      <c r="S15" s="75">
        <v>0</v>
      </c>
      <c r="T15" s="206">
        <f t="shared" si="8"/>
        <v>0</v>
      </c>
      <c r="U15" s="207">
        <v>1</v>
      </c>
      <c r="V15" s="43">
        <f t="shared" si="1"/>
        <v>0</v>
      </c>
    </row>
    <row r="16" spans="2:22" x14ac:dyDescent="0.25">
      <c r="B16" s="203">
        <f t="shared" si="2"/>
        <v>1954</v>
      </c>
      <c r="C16" s="75">
        <v>10</v>
      </c>
      <c r="D16" s="196">
        <f t="shared" si="3"/>
        <v>380</v>
      </c>
      <c r="E16" s="204">
        <f t="shared" si="4"/>
        <v>3800</v>
      </c>
      <c r="F16" s="198">
        <f t="shared" si="0"/>
        <v>0.9</v>
      </c>
      <c r="G16" s="199">
        <f t="shared" si="0"/>
        <v>0.30099999999999999</v>
      </c>
      <c r="H16" s="199">
        <f t="shared" si="0"/>
        <v>0</v>
      </c>
      <c r="I16" s="199">
        <f t="shared" si="0"/>
        <v>0.218</v>
      </c>
      <c r="J16" s="199">
        <f t="shared" si="0"/>
        <v>7.4999999999999997E-2</v>
      </c>
      <c r="K16" s="199">
        <f t="shared" si="0"/>
        <v>4.7E-2</v>
      </c>
      <c r="L16" s="199">
        <f t="shared" si="0"/>
        <v>0</v>
      </c>
      <c r="M16" s="199">
        <f t="shared" si="5"/>
        <v>0.35899999999999999</v>
      </c>
      <c r="N16" s="205">
        <f t="shared" si="7"/>
        <v>1</v>
      </c>
      <c r="Q16" s="203">
        <f t="shared" si="6"/>
        <v>1954</v>
      </c>
      <c r="R16" s="75">
        <v>100</v>
      </c>
      <c r="S16" s="75">
        <v>0</v>
      </c>
      <c r="T16" s="206">
        <f t="shared" si="8"/>
        <v>0</v>
      </c>
      <c r="U16" s="207">
        <v>1</v>
      </c>
      <c r="V16" s="43">
        <f t="shared" si="1"/>
        <v>0</v>
      </c>
    </row>
    <row r="17" spans="2:22" x14ac:dyDescent="0.25">
      <c r="B17" s="203">
        <f t="shared" si="2"/>
        <v>1955</v>
      </c>
      <c r="C17" s="75">
        <v>10</v>
      </c>
      <c r="D17" s="196">
        <f t="shared" si="3"/>
        <v>380</v>
      </c>
      <c r="E17" s="204">
        <f t="shared" si="4"/>
        <v>3800</v>
      </c>
      <c r="F17" s="198">
        <f t="shared" si="0"/>
        <v>0.9</v>
      </c>
      <c r="G17" s="199">
        <f t="shared" si="0"/>
        <v>0.30099999999999999</v>
      </c>
      <c r="H17" s="199">
        <f t="shared" si="0"/>
        <v>0</v>
      </c>
      <c r="I17" s="199">
        <f t="shared" si="0"/>
        <v>0.218</v>
      </c>
      <c r="J17" s="199">
        <f t="shared" si="0"/>
        <v>7.4999999999999997E-2</v>
      </c>
      <c r="K17" s="199">
        <f t="shared" si="0"/>
        <v>4.7E-2</v>
      </c>
      <c r="L17" s="199">
        <f t="shared" si="0"/>
        <v>0</v>
      </c>
      <c r="M17" s="199">
        <f t="shared" si="5"/>
        <v>0.35899999999999999</v>
      </c>
      <c r="N17" s="205">
        <f t="shared" si="7"/>
        <v>1</v>
      </c>
      <c r="Q17" s="203">
        <f t="shared" si="6"/>
        <v>1955</v>
      </c>
      <c r="R17" s="75">
        <v>100</v>
      </c>
      <c r="S17" s="75">
        <v>0</v>
      </c>
      <c r="T17" s="206">
        <f t="shared" si="8"/>
        <v>0</v>
      </c>
      <c r="U17" s="207">
        <v>1</v>
      </c>
      <c r="V17" s="43">
        <f t="shared" si="1"/>
        <v>0</v>
      </c>
    </row>
    <row r="18" spans="2:22" x14ac:dyDescent="0.25">
      <c r="B18" s="203">
        <f t="shared" si="2"/>
        <v>1956</v>
      </c>
      <c r="C18" s="75">
        <v>10</v>
      </c>
      <c r="D18" s="196">
        <f t="shared" si="3"/>
        <v>380</v>
      </c>
      <c r="E18" s="204">
        <f t="shared" si="4"/>
        <v>3800</v>
      </c>
      <c r="F18" s="198">
        <f t="shared" si="0"/>
        <v>0.9</v>
      </c>
      <c r="G18" s="199">
        <f t="shared" si="0"/>
        <v>0.30099999999999999</v>
      </c>
      <c r="H18" s="199">
        <f t="shared" si="0"/>
        <v>0</v>
      </c>
      <c r="I18" s="199">
        <f t="shared" si="0"/>
        <v>0.218</v>
      </c>
      <c r="J18" s="199">
        <f t="shared" si="0"/>
        <v>7.4999999999999997E-2</v>
      </c>
      <c r="K18" s="199">
        <f t="shared" si="0"/>
        <v>4.7E-2</v>
      </c>
      <c r="L18" s="199">
        <f t="shared" si="0"/>
        <v>0</v>
      </c>
      <c r="M18" s="199">
        <f t="shared" si="5"/>
        <v>0.35899999999999999</v>
      </c>
      <c r="N18" s="205">
        <f t="shared" si="7"/>
        <v>1</v>
      </c>
      <c r="Q18" s="203">
        <f t="shared" si="6"/>
        <v>1956</v>
      </c>
      <c r="R18" s="75">
        <v>100</v>
      </c>
      <c r="S18" s="75">
        <v>0</v>
      </c>
      <c r="T18" s="206">
        <f t="shared" si="8"/>
        <v>0</v>
      </c>
      <c r="U18" s="207">
        <v>1</v>
      </c>
      <c r="V18" s="43">
        <f t="shared" si="1"/>
        <v>0</v>
      </c>
    </row>
    <row r="19" spans="2:22" x14ac:dyDescent="0.25">
      <c r="B19" s="203">
        <f t="shared" si="2"/>
        <v>1957</v>
      </c>
      <c r="C19" s="75">
        <v>10</v>
      </c>
      <c r="D19" s="196">
        <f t="shared" si="3"/>
        <v>380</v>
      </c>
      <c r="E19" s="204">
        <f t="shared" si="4"/>
        <v>3800</v>
      </c>
      <c r="F19" s="198">
        <f t="shared" si="0"/>
        <v>0.9</v>
      </c>
      <c r="G19" s="199">
        <f t="shared" si="0"/>
        <v>0.30099999999999999</v>
      </c>
      <c r="H19" s="199">
        <f t="shared" si="0"/>
        <v>0</v>
      </c>
      <c r="I19" s="199">
        <f t="shared" si="0"/>
        <v>0.218</v>
      </c>
      <c r="J19" s="199">
        <f t="shared" si="0"/>
        <v>7.4999999999999997E-2</v>
      </c>
      <c r="K19" s="199">
        <f t="shared" si="0"/>
        <v>4.7E-2</v>
      </c>
      <c r="L19" s="199">
        <f t="shared" si="0"/>
        <v>0</v>
      </c>
      <c r="M19" s="199">
        <f t="shared" si="5"/>
        <v>0.35899999999999999</v>
      </c>
      <c r="N19" s="205">
        <f t="shared" si="7"/>
        <v>1</v>
      </c>
      <c r="Q19" s="203">
        <f t="shared" si="6"/>
        <v>1957</v>
      </c>
      <c r="R19" s="75">
        <v>100</v>
      </c>
      <c r="S19" s="75">
        <v>0</v>
      </c>
      <c r="T19" s="206">
        <f t="shared" si="8"/>
        <v>0</v>
      </c>
      <c r="U19" s="207">
        <v>1</v>
      </c>
      <c r="V19" s="43">
        <f t="shared" si="1"/>
        <v>0</v>
      </c>
    </row>
    <row r="20" spans="2:22" x14ac:dyDescent="0.25">
      <c r="B20" s="203">
        <f t="shared" si="2"/>
        <v>1958</v>
      </c>
      <c r="C20" s="75">
        <v>10</v>
      </c>
      <c r="D20" s="196">
        <f t="shared" si="3"/>
        <v>380</v>
      </c>
      <c r="E20" s="204">
        <f t="shared" si="4"/>
        <v>3800</v>
      </c>
      <c r="F20" s="198">
        <f t="shared" si="0"/>
        <v>0.9</v>
      </c>
      <c r="G20" s="199">
        <f t="shared" si="0"/>
        <v>0.30099999999999999</v>
      </c>
      <c r="H20" s="199">
        <f t="shared" si="0"/>
        <v>0</v>
      </c>
      <c r="I20" s="199">
        <f t="shared" si="0"/>
        <v>0.218</v>
      </c>
      <c r="J20" s="199">
        <f t="shared" si="0"/>
        <v>7.4999999999999997E-2</v>
      </c>
      <c r="K20" s="199">
        <f t="shared" si="0"/>
        <v>4.7E-2</v>
      </c>
      <c r="L20" s="199">
        <f t="shared" si="0"/>
        <v>0</v>
      </c>
      <c r="M20" s="199">
        <f t="shared" si="5"/>
        <v>0.35899999999999999</v>
      </c>
      <c r="N20" s="205">
        <f t="shared" si="7"/>
        <v>1</v>
      </c>
      <c r="Q20" s="203">
        <f t="shared" si="6"/>
        <v>1958</v>
      </c>
      <c r="R20" s="75">
        <v>100</v>
      </c>
      <c r="S20" s="75">
        <v>0</v>
      </c>
      <c r="T20" s="206">
        <f t="shared" si="8"/>
        <v>0</v>
      </c>
      <c r="U20" s="207">
        <v>1</v>
      </c>
      <c r="V20" s="43">
        <f t="shared" si="1"/>
        <v>0</v>
      </c>
    </row>
    <row r="21" spans="2:22" x14ac:dyDescent="0.25">
      <c r="B21" s="203">
        <f t="shared" si="2"/>
        <v>1959</v>
      </c>
      <c r="C21" s="75">
        <v>10</v>
      </c>
      <c r="D21" s="196">
        <f t="shared" si="3"/>
        <v>380</v>
      </c>
      <c r="E21" s="204">
        <f t="shared" si="4"/>
        <v>3800</v>
      </c>
      <c r="F21" s="198">
        <f t="shared" si="0"/>
        <v>0.9</v>
      </c>
      <c r="G21" s="199">
        <f t="shared" si="0"/>
        <v>0.30099999999999999</v>
      </c>
      <c r="H21" s="199">
        <f t="shared" si="0"/>
        <v>0</v>
      </c>
      <c r="I21" s="199">
        <f t="shared" si="0"/>
        <v>0.218</v>
      </c>
      <c r="J21" s="199">
        <f t="shared" si="0"/>
        <v>7.4999999999999997E-2</v>
      </c>
      <c r="K21" s="199">
        <f t="shared" si="0"/>
        <v>4.7E-2</v>
      </c>
      <c r="L21" s="199">
        <f t="shared" si="0"/>
        <v>0</v>
      </c>
      <c r="M21" s="199">
        <f t="shared" si="5"/>
        <v>0.35899999999999999</v>
      </c>
      <c r="N21" s="205">
        <f t="shared" si="7"/>
        <v>1</v>
      </c>
      <c r="Q21" s="203">
        <f t="shared" si="6"/>
        <v>1959</v>
      </c>
      <c r="R21" s="75">
        <v>100</v>
      </c>
      <c r="S21" s="75">
        <v>0</v>
      </c>
      <c r="T21" s="206">
        <f t="shared" si="8"/>
        <v>0</v>
      </c>
      <c r="U21" s="207">
        <v>1</v>
      </c>
      <c r="V21" s="43">
        <f t="shared" si="1"/>
        <v>0</v>
      </c>
    </row>
    <row r="22" spans="2:22" x14ac:dyDescent="0.25">
      <c r="B22" s="203">
        <f t="shared" si="2"/>
        <v>1960</v>
      </c>
      <c r="C22" s="75">
        <v>10</v>
      </c>
      <c r="D22" s="196">
        <f t="shared" si="3"/>
        <v>380</v>
      </c>
      <c r="E22" s="204">
        <f t="shared" si="4"/>
        <v>3800</v>
      </c>
      <c r="F22" s="198">
        <f t="shared" si="0"/>
        <v>0.9</v>
      </c>
      <c r="G22" s="199">
        <f t="shared" si="0"/>
        <v>0.30099999999999999</v>
      </c>
      <c r="H22" s="199">
        <f t="shared" si="0"/>
        <v>0</v>
      </c>
      <c r="I22" s="199">
        <f t="shared" si="0"/>
        <v>0.218</v>
      </c>
      <c r="J22" s="199">
        <f t="shared" si="0"/>
        <v>7.4999999999999997E-2</v>
      </c>
      <c r="K22" s="199">
        <f t="shared" si="0"/>
        <v>4.7E-2</v>
      </c>
      <c r="L22" s="199">
        <f t="shared" si="0"/>
        <v>0</v>
      </c>
      <c r="M22" s="199">
        <f t="shared" si="5"/>
        <v>0.35899999999999999</v>
      </c>
      <c r="N22" s="205">
        <f t="shared" si="7"/>
        <v>1</v>
      </c>
      <c r="Q22" s="203">
        <f t="shared" si="6"/>
        <v>1960</v>
      </c>
      <c r="R22" s="75">
        <v>100</v>
      </c>
      <c r="S22" s="75">
        <v>0</v>
      </c>
      <c r="T22" s="206">
        <f t="shared" si="8"/>
        <v>0</v>
      </c>
      <c r="U22" s="207">
        <v>1</v>
      </c>
      <c r="V22" s="43">
        <f t="shared" si="1"/>
        <v>0</v>
      </c>
    </row>
    <row r="23" spans="2:22" x14ac:dyDescent="0.25">
      <c r="B23" s="203">
        <f t="shared" si="2"/>
        <v>1961</v>
      </c>
      <c r="C23" s="75">
        <v>10</v>
      </c>
      <c r="D23" s="196">
        <f t="shared" si="3"/>
        <v>380</v>
      </c>
      <c r="E23" s="204">
        <f t="shared" si="4"/>
        <v>3800</v>
      </c>
      <c r="F23" s="198">
        <f t="shared" si="0"/>
        <v>0.9</v>
      </c>
      <c r="G23" s="199">
        <f t="shared" si="0"/>
        <v>0.30099999999999999</v>
      </c>
      <c r="H23" s="199">
        <f t="shared" si="0"/>
        <v>0</v>
      </c>
      <c r="I23" s="199">
        <f t="shared" si="0"/>
        <v>0.218</v>
      </c>
      <c r="J23" s="199">
        <f t="shared" si="0"/>
        <v>7.4999999999999997E-2</v>
      </c>
      <c r="K23" s="199">
        <f t="shared" si="0"/>
        <v>4.7E-2</v>
      </c>
      <c r="L23" s="199">
        <f t="shared" si="0"/>
        <v>0</v>
      </c>
      <c r="M23" s="199">
        <f t="shared" si="5"/>
        <v>0.35899999999999999</v>
      </c>
      <c r="N23" s="205">
        <f t="shared" si="7"/>
        <v>1</v>
      </c>
      <c r="Q23" s="203">
        <f t="shared" si="6"/>
        <v>1961</v>
      </c>
      <c r="R23" s="75">
        <v>100</v>
      </c>
      <c r="S23" s="75">
        <v>0</v>
      </c>
      <c r="T23" s="206">
        <f t="shared" si="8"/>
        <v>0</v>
      </c>
      <c r="U23" s="207">
        <v>1</v>
      </c>
      <c r="V23" s="43">
        <f t="shared" si="1"/>
        <v>0</v>
      </c>
    </row>
    <row r="24" spans="2:22" x14ac:dyDescent="0.25">
      <c r="B24" s="203">
        <f t="shared" si="2"/>
        <v>1962</v>
      </c>
      <c r="C24" s="75">
        <v>10</v>
      </c>
      <c r="D24" s="196">
        <f t="shared" si="3"/>
        <v>380</v>
      </c>
      <c r="E24" s="204">
        <f t="shared" si="4"/>
        <v>3800</v>
      </c>
      <c r="F24" s="198">
        <f t="shared" si="0"/>
        <v>0.9</v>
      </c>
      <c r="G24" s="199">
        <f t="shared" si="0"/>
        <v>0.30099999999999999</v>
      </c>
      <c r="H24" s="199">
        <f t="shared" si="0"/>
        <v>0</v>
      </c>
      <c r="I24" s="199">
        <f t="shared" si="0"/>
        <v>0.218</v>
      </c>
      <c r="J24" s="199">
        <f t="shared" si="0"/>
        <v>7.4999999999999997E-2</v>
      </c>
      <c r="K24" s="199">
        <f t="shared" si="0"/>
        <v>4.7E-2</v>
      </c>
      <c r="L24" s="199">
        <f t="shared" si="0"/>
        <v>0</v>
      </c>
      <c r="M24" s="199">
        <f t="shared" si="5"/>
        <v>0.35899999999999999</v>
      </c>
      <c r="N24" s="205">
        <f t="shared" si="7"/>
        <v>1</v>
      </c>
      <c r="Q24" s="203">
        <f t="shared" si="6"/>
        <v>1962</v>
      </c>
      <c r="R24" s="75">
        <v>100</v>
      </c>
      <c r="S24" s="75">
        <v>0</v>
      </c>
      <c r="T24" s="206">
        <f t="shared" si="8"/>
        <v>0</v>
      </c>
      <c r="U24" s="207">
        <v>1</v>
      </c>
      <c r="V24" s="43">
        <f t="shared" si="1"/>
        <v>0</v>
      </c>
    </row>
    <row r="25" spans="2:22" x14ac:dyDescent="0.25">
      <c r="B25" s="203">
        <f t="shared" si="2"/>
        <v>1963</v>
      </c>
      <c r="C25" s="75">
        <v>10</v>
      </c>
      <c r="D25" s="196">
        <f t="shared" si="3"/>
        <v>380</v>
      </c>
      <c r="E25" s="204">
        <f t="shared" si="4"/>
        <v>3800</v>
      </c>
      <c r="F25" s="198">
        <f t="shared" si="0"/>
        <v>0.9</v>
      </c>
      <c r="G25" s="199">
        <f t="shared" si="0"/>
        <v>0.30099999999999999</v>
      </c>
      <c r="H25" s="199">
        <f t="shared" si="0"/>
        <v>0</v>
      </c>
      <c r="I25" s="199">
        <f t="shared" si="0"/>
        <v>0.218</v>
      </c>
      <c r="J25" s="199">
        <f t="shared" si="0"/>
        <v>7.4999999999999997E-2</v>
      </c>
      <c r="K25" s="199">
        <f t="shared" si="0"/>
        <v>4.7E-2</v>
      </c>
      <c r="L25" s="199">
        <f t="shared" si="0"/>
        <v>0</v>
      </c>
      <c r="M25" s="199">
        <f t="shared" si="5"/>
        <v>0.35899999999999999</v>
      </c>
      <c r="N25" s="205">
        <f t="shared" si="7"/>
        <v>1</v>
      </c>
      <c r="Q25" s="203">
        <f t="shared" si="6"/>
        <v>1963</v>
      </c>
      <c r="R25" s="75">
        <v>100</v>
      </c>
      <c r="S25" s="75">
        <v>0</v>
      </c>
      <c r="T25" s="206">
        <f t="shared" si="8"/>
        <v>0</v>
      </c>
      <c r="U25" s="207">
        <v>1</v>
      </c>
      <c r="V25" s="43">
        <f t="shared" si="1"/>
        <v>0</v>
      </c>
    </row>
    <row r="26" spans="2:22" x14ac:dyDescent="0.25">
      <c r="B26" s="203">
        <f t="shared" si="2"/>
        <v>1964</v>
      </c>
      <c r="C26" s="75">
        <v>10</v>
      </c>
      <c r="D26" s="196">
        <f t="shared" si="3"/>
        <v>380</v>
      </c>
      <c r="E26" s="204">
        <f t="shared" si="4"/>
        <v>3800</v>
      </c>
      <c r="F26" s="198">
        <f t="shared" si="0"/>
        <v>0.9</v>
      </c>
      <c r="G26" s="199">
        <f t="shared" si="0"/>
        <v>0.30099999999999999</v>
      </c>
      <c r="H26" s="199">
        <f t="shared" si="0"/>
        <v>0</v>
      </c>
      <c r="I26" s="199">
        <f t="shared" si="0"/>
        <v>0.218</v>
      </c>
      <c r="J26" s="199">
        <f t="shared" si="0"/>
        <v>7.4999999999999997E-2</v>
      </c>
      <c r="K26" s="199">
        <f t="shared" si="0"/>
        <v>4.7E-2</v>
      </c>
      <c r="L26" s="199">
        <f t="shared" si="0"/>
        <v>0</v>
      </c>
      <c r="M26" s="199">
        <f t="shared" si="5"/>
        <v>0.35899999999999999</v>
      </c>
      <c r="N26" s="205">
        <f t="shared" si="7"/>
        <v>1</v>
      </c>
      <c r="Q26" s="203">
        <f t="shared" si="6"/>
        <v>1964</v>
      </c>
      <c r="R26" s="75">
        <v>100</v>
      </c>
      <c r="S26" s="75">
        <v>0</v>
      </c>
      <c r="T26" s="206">
        <f t="shared" si="8"/>
        <v>0</v>
      </c>
      <c r="U26" s="207">
        <v>1</v>
      </c>
      <c r="V26" s="43">
        <f t="shared" si="1"/>
        <v>0</v>
      </c>
    </row>
    <row r="27" spans="2:22" x14ac:dyDescent="0.25">
      <c r="B27" s="203">
        <f t="shared" si="2"/>
        <v>1965</v>
      </c>
      <c r="C27" s="75">
        <v>10</v>
      </c>
      <c r="D27" s="196">
        <f t="shared" si="3"/>
        <v>380</v>
      </c>
      <c r="E27" s="204">
        <f t="shared" si="4"/>
        <v>3800</v>
      </c>
      <c r="F27" s="198">
        <f t="shared" si="0"/>
        <v>0.9</v>
      </c>
      <c r="G27" s="199">
        <f t="shared" si="0"/>
        <v>0.30099999999999999</v>
      </c>
      <c r="H27" s="199">
        <f t="shared" si="0"/>
        <v>0</v>
      </c>
      <c r="I27" s="199">
        <f t="shared" si="0"/>
        <v>0.218</v>
      </c>
      <c r="J27" s="199">
        <f t="shared" si="0"/>
        <v>7.4999999999999997E-2</v>
      </c>
      <c r="K27" s="199">
        <f t="shared" si="0"/>
        <v>4.7E-2</v>
      </c>
      <c r="L27" s="199">
        <f t="shared" si="0"/>
        <v>0</v>
      </c>
      <c r="M27" s="199">
        <f t="shared" si="5"/>
        <v>0.35899999999999999</v>
      </c>
      <c r="N27" s="205">
        <f t="shared" si="7"/>
        <v>1</v>
      </c>
      <c r="Q27" s="203">
        <f t="shared" si="6"/>
        <v>1965</v>
      </c>
      <c r="R27" s="75">
        <v>100</v>
      </c>
      <c r="S27" s="75">
        <v>0</v>
      </c>
      <c r="T27" s="206">
        <f t="shared" si="8"/>
        <v>0</v>
      </c>
      <c r="U27" s="207">
        <v>1</v>
      </c>
      <c r="V27" s="43">
        <f t="shared" si="1"/>
        <v>0</v>
      </c>
    </row>
    <row r="28" spans="2:22" x14ac:dyDescent="0.25">
      <c r="B28" s="203">
        <f t="shared" si="2"/>
        <v>1966</v>
      </c>
      <c r="C28" s="75">
        <v>10</v>
      </c>
      <c r="D28" s="196">
        <f t="shared" si="3"/>
        <v>380</v>
      </c>
      <c r="E28" s="204">
        <f t="shared" si="4"/>
        <v>3800</v>
      </c>
      <c r="F28" s="198">
        <f t="shared" ref="F28:L43" si="9">F$8</f>
        <v>0.9</v>
      </c>
      <c r="G28" s="199">
        <f t="shared" si="9"/>
        <v>0.30099999999999999</v>
      </c>
      <c r="H28" s="199">
        <f t="shared" si="9"/>
        <v>0</v>
      </c>
      <c r="I28" s="199">
        <f t="shared" si="9"/>
        <v>0.218</v>
      </c>
      <c r="J28" s="199">
        <f t="shared" si="9"/>
        <v>7.4999999999999997E-2</v>
      </c>
      <c r="K28" s="199">
        <f t="shared" si="9"/>
        <v>4.7E-2</v>
      </c>
      <c r="L28" s="199">
        <f t="shared" si="9"/>
        <v>0</v>
      </c>
      <c r="M28" s="199">
        <f t="shared" si="5"/>
        <v>0.35899999999999999</v>
      </c>
      <c r="N28" s="205">
        <f t="shared" si="7"/>
        <v>1</v>
      </c>
      <c r="Q28" s="203">
        <f t="shared" si="6"/>
        <v>1966</v>
      </c>
      <c r="R28" s="75">
        <v>100</v>
      </c>
      <c r="S28" s="75">
        <v>0</v>
      </c>
      <c r="T28" s="206">
        <f t="shared" si="8"/>
        <v>0</v>
      </c>
      <c r="U28" s="207">
        <v>1</v>
      </c>
      <c r="V28" s="43">
        <f t="shared" si="1"/>
        <v>0</v>
      </c>
    </row>
    <row r="29" spans="2:22" x14ac:dyDescent="0.25">
      <c r="B29" s="203">
        <f t="shared" si="2"/>
        <v>1967</v>
      </c>
      <c r="C29" s="75">
        <v>10</v>
      </c>
      <c r="D29" s="196">
        <f t="shared" si="3"/>
        <v>380</v>
      </c>
      <c r="E29" s="204">
        <f t="shared" si="4"/>
        <v>3800</v>
      </c>
      <c r="F29" s="198">
        <f t="shared" si="9"/>
        <v>0.9</v>
      </c>
      <c r="G29" s="199">
        <f t="shared" si="9"/>
        <v>0.30099999999999999</v>
      </c>
      <c r="H29" s="199">
        <f t="shared" si="9"/>
        <v>0</v>
      </c>
      <c r="I29" s="199">
        <f t="shared" si="9"/>
        <v>0.218</v>
      </c>
      <c r="J29" s="199">
        <f t="shared" si="9"/>
        <v>7.4999999999999997E-2</v>
      </c>
      <c r="K29" s="199">
        <f t="shared" si="9"/>
        <v>4.7E-2</v>
      </c>
      <c r="L29" s="199">
        <f t="shared" si="9"/>
        <v>0</v>
      </c>
      <c r="M29" s="199">
        <f t="shared" si="5"/>
        <v>0.35899999999999999</v>
      </c>
      <c r="N29" s="205">
        <f t="shared" si="7"/>
        <v>1</v>
      </c>
      <c r="Q29" s="203">
        <f t="shared" si="6"/>
        <v>1967</v>
      </c>
      <c r="R29" s="75">
        <v>100</v>
      </c>
      <c r="S29" s="75">
        <v>0</v>
      </c>
      <c r="T29" s="206">
        <f t="shared" si="8"/>
        <v>0</v>
      </c>
      <c r="U29" s="207">
        <v>1</v>
      </c>
      <c r="V29" s="43">
        <f t="shared" si="1"/>
        <v>0</v>
      </c>
    </row>
    <row r="30" spans="2:22" x14ac:dyDescent="0.25">
      <c r="B30" s="203">
        <f t="shared" si="2"/>
        <v>1968</v>
      </c>
      <c r="C30" s="75">
        <v>10</v>
      </c>
      <c r="D30" s="196">
        <f t="shared" si="3"/>
        <v>380</v>
      </c>
      <c r="E30" s="204">
        <f t="shared" si="4"/>
        <v>3800</v>
      </c>
      <c r="F30" s="198">
        <f t="shared" si="9"/>
        <v>0.9</v>
      </c>
      <c r="G30" s="199">
        <f t="shared" si="9"/>
        <v>0.30099999999999999</v>
      </c>
      <c r="H30" s="199">
        <f t="shared" si="9"/>
        <v>0</v>
      </c>
      <c r="I30" s="199">
        <f t="shared" si="9"/>
        <v>0.218</v>
      </c>
      <c r="J30" s="199">
        <f t="shared" si="9"/>
        <v>7.4999999999999997E-2</v>
      </c>
      <c r="K30" s="199">
        <f t="shared" si="9"/>
        <v>4.7E-2</v>
      </c>
      <c r="L30" s="199">
        <f t="shared" si="9"/>
        <v>0</v>
      </c>
      <c r="M30" s="199">
        <f t="shared" si="5"/>
        <v>0.35899999999999999</v>
      </c>
      <c r="N30" s="205">
        <f t="shared" si="7"/>
        <v>1</v>
      </c>
      <c r="Q30" s="203">
        <f t="shared" si="6"/>
        <v>1968</v>
      </c>
      <c r="R30" s="75">
        <v>100</v>
      </c>
      <c r="S30" s="75">
        <v>0</v>
      </c>
      <c r="T30" s="206">
        <f t="shared" si="8"/>
        <v>0</v>
      </c>
      <c r="U30" s="207">
        <v>1</v>
      </c>
      <c r="V30" s="43">
        <f t="shared" si="1"/>
        <v>0</v>
      </c>
    </row>
    <row r="31" spans="2:22" x14ac:dyDescent="0.25">
      <c r="B31" s="203">
        <f t="shared" si="2"/>
        <v>1969</v>
      </c>
      <c r="C31" s="75">
        <v>10</v>
      </c>
      <c r="D31" s="196">
        <f t="shared" si="3"/>
        <v>380</v>
      </c>
      <c r="E31" s="204">
        <f t="shared" si="4"/>
        <v>3800</v>
      </c>
      <c r="F31" s="198">
        <f t="shared" si="9"/>
        <v>0.9</v>
      </c>
      <c r="G31" s="199">
        <f t="shared" si="9"/>
        <v>0.30099999999999999</v>
      </c>
      <c r="H31" s="199">
        <f t="shared" si="9"/>
        <v>0</v>
      </c>
      <c r="I31" s="199">
        <f t="shared" si="9"/>
        <v>0.218</v>
      </c>
      <c r="J31" s="199">
        <f t="shared" si="9"/>
        <v>7.4999999999999997E-2</v>
      </c>
      <c r="K31" s="199">
        <f t="shared" si="9"/>
        <v>4.7E-2</v>
      </c>
      <c r="L31" s="199">
        <f t="shared" si="9"/>
        <v>0</v>
      </c>
      <c r="M31" s="199">
        <f t="shared" si="5"/>
        <v>0.35899999999999999</v>
      </c>
      <c r="N31" s="205">
        <f t="shared" si="7"/>
        <v>1</v>
      </c>
      <c r="Q31" s="203">
        <f t="shared" si="6"/>
        <v>1969</v>
      </c>
      <c r="R31" s="75">
        <v>100</v>
      </c>
      <c r="S31" s="75">
        <v>0</v>
      </c>
      <c r="T31" s="206">
        <f t="shared" si="8"/>
        <v>0</v>
      </c>
      <c r="U31" s="207">
        <v>1</v>
      </c>
      <c r="V31" s="43">
        <f t="shared" si="1"/>
        <v>0</v>
      </c>
    </row>
    <row r="32" spans="2:22" x14ac:dyDescent="0.25">
      <c r="B32" s="203">
        <f t="shared" si="2"/>
        <v>1970</v>
      </c>
      <c r="C32" s="75">
        <v>10</v>
      </c>
      <c r="D32" s="196">
        <f t="shared" si="3"/>
        <v>380</v>
      </c>
      <c r="E32" s="204">
        <f t="shared" si="4"/>
        <v>3800</v>
      </c>
      <c r="F32" s="198">
        <f t="shared" si="9"/>
        <v>0.9</v>
      </c>
      <c r="G32" s="199">
        <f t="shared" si="9"/>
        <v>0.30099999999999999</v>
      </c>
      <c r="H32" s="199">
        <f t="shared" si="9"/>
        <v>0</v>
      </c>
      <c r="I32" s="199">
        <f t="shared" si="9"/>
        <v>0.218</v>
      </c>
      <c r="J32" s="199">
        <f t="shared" si="9"/>
        <v>7.4999999999999997E-2</v>
      </c>
      <c r="K32" s="199">
        <f t="shared" si="9"/>
        <v>4.7E-2</v>
      </c>
      <c r="L32" s="199">
        <f t="shared" si="9"/>
        <v>0</v>
      </c>
      <c r="M32" s="199">
        <f t="shared" si="5"/>
        <v>0.35899999999999999</v>
      </c>
      <c r="N32" s="205">
        <f t="shared" si="7"/>
        <v>1</v>
      </c>
      <c r="Q32" s="203">
        <f t="shared" si="6"/>
        <v>1970</v>
      </c>
      <c r="R32" s="75">
        <v>100</v>
      </c>
      <c r="S32" s="75">
        <v>0</v>
      </c>
      <c r="T32" s="206">
        <f t="shared" si="8"/>
        <v>0</v>
      </c>
      <c r="U32" s="207">
        <v>1</v>
      </c>
      <c r="V32" s="43">
        <f t="shared" si="1"/>
        <v>0</v>
      </c>
    </row>
    <row r="33" spans="2:22" x14ac:dyDescent="0.25">
      <c r="B33" s="203">
        <f t="shared" si="2"/>
        <v>1971</v>
      </c>
      <c r="C33" s="75">
        <v>10</v>
      </c>
      <c r="D33" s="196">
        <f t="shared" si="3"/>
        <v>380</v>
      </c>
      <c r="E33" s="204">
        <f t="shared" si="4"/>
        <v>3800</v>
      </c>
      <c r="F33" s="198">
        <f t="shared" si="9"/>
        <v>0.9</v>
      </c>
      <c r="G33" s="199">
        <f t="shared" si="9"/>
        <v>0.30099999999999999</v>
      </c>
      <c r="H33" s="199">
        <f t="shared" si="9"/>
        <v>0</v>
      </c>
      <c r="I33" s="199">
        <f t="shared" si="9"/>
        <v>0.218</v>
      </c>
      <c r="J33" s="199">
        <f t="shared" si="9"/>
        <v>7.4999999999999997E-2</v>
      </c>
      <c r="K33" s="199">
        <f t="shared" si="9"/>
        <v>4.7E-2</v>
      </c>
      <c r="L33" s="199">
        <f t="shared" si="9"/>
        <v>0</v>
      </c>
      <c r="M33" s="199">
        <f t="shared" si="5"/>
        <v>0.35899999999999999</v>
      </c>
      <c r="N33" s="205">
        <f t="shared" si="7"/>
        <v>1</v>
      </c>
      <c r="Q33" s="203">
        <f t="shared" si="6"/>
        <v>1971</v>
      </c>
      <c r="R33" s="75">
        <v>100</v>
      </c>
      <c r="S33" s="75">
        <v>0</v>
      </c>
      <c r="T33" s="206">
        <f t="shared" si="8"/>
        <v>0</v>
      </c>
      <c r="U33" s="207">
        <v>1</v>
      </c>
      <c r="V33" s="43">
        <f t="shared" si="1"/>
        <v>0</v>
      </c>
    </row>
    <row r="34" spans="2:22" x14ac:dyDescent="0.25">
      <c r="B34" s="203">
        <f t="shared" si="2"/>
        <v>1972</v>
      </c>
      <c r="C34" s="75">
        <v>10</v>
      </c>
      <c r="D34" s="196">
        <f t="shared" si="3"/>
        <v>380</v>
      </c>
      <c r="E34" s="204">
        <f t="shared" si="4"/>
        <v>3800</v>
      </c>
      <c r="F34" s="198">
        <f t="shared" si="9"/>
        <v>0.9</v>
      </c>
      <c r="G34" s="199">
        <f t="shared" si="9"/>
        <v>0.30099999999999999</v>
      </c>
      <c r="H34" s="199">
        <f t="shared" si="9"/>
        <v>0</v>
      </c>
      <c r="I34" s="199">
        <f t="shared" si="9"/>
        <v>0.218</v>
      </c>
      <c r="J34" s="199">
        <f t="shared" si="9"/>
        <v>7.4999999999999997E-2</v>
      </c>
      <c r="K34" s="199">
        <f t="shared" si="9"/>
        <v>4.7E-2</v>
      </c>
      <c r="L34" s="199">
        <f t="shared" si="9"/>
        <v>0</v>
      </c>
      <c r="M34" s="199">
        <f t="shared" si="5"/>
        <v>0.35899999999999999</v>
      </c>
      <c r="N34" s="205">
        <f t="shared" si="7"/>
        <v>1</v>
      </c>
      <c r="Q34" s="203">
        <f t="shared" si="6"/>
        <v>1972</v>
      </c>
      <c r="R34" s="75">
        <v>100</v>
      </c>
      <c r="S34" s="75">
        <v>0</v>
      </c>
      <c r="T34" s="206">
        <f t="shared" si="8"/>
        <v>0</v>
      </c>
      <c r="U34" s="207">
        <v>1</v>
      </c>
      <c r="V34" s="43">
        <f t="shared" si="1"/>
        <v>0</v>
      </c>
    </row>
    <row r="35" spans="2:22" x14ac:dyDescent="0.25">
      <c r="B35" s="203">
        <f t="shared" si="2"/>
        <v>1973</v>
      </c>
      <c r="C35" s="75">
        <v>10</v>
      </c>
      <c r="D35" s="196">
        <f t="shared" si="3"/>
        <v>380</v>
      </c>
      <c r="E35" s="204">
        <f t="shared" si="4"/>
        <v>3800</v>
      </c>
      <c r="F35" s="198">
        <f t="shared" si="9"/>
        <v>0.9</v>
      </c>
      <c r="G35" s="199">
        <f t="shared" si="9"/>
        <v>0.30099999999999999</v>
      </c>
      <c r="H35" s="199">
        <f t="shared" si="9"/>
        <v>0</v>
      </c>
      <c r="I35" s="199">
        <f t="shared" si="9"/>
        <v>0.218</v>
      </c>
      <c r="J35" s="199">
        <f t="shared" si="9"/>
        <v>7.4999999999999997E-2</v>
      </c>
      <c r="K35" s="199">
        <f t="shared" si="9"/>
        <v>4.7E-2</v>
      </c>
      <c r="L35" s="199">
        <f t="shared" si="9"/>
        <v>0</v>
      </c>
      <c r="M35" s="199">
        <f t="shared" si="5"/>
        <v>0.35899999999999999</v>
      </c>
      <c r="N35" s="205">
        <f t="shared" si="7"/>
        <v>1</v>
      </c>
      <c r="Q35" s="203">
        <f t="shared" si="6"/>
        <v>1973</v>
      </c>
      <c r="R35" s="75">
        <v>100</v>
      </c>
      <c r="S35" s="75">
        <v>0</v>
      </c>
      <c r="T35" s="206">
        <f t="shared" si="8"/>
        <v>0</v>
      </c>
      <c r="U35" s="207">
        <v>1</v>
      </c>
      <c r="V35" s="43">
        <f t="shared" si="1"/>
        <v>0</v>
      </c>
    </row>
    <row r="36" spans="2:22" x14ac:dyDescent="0.25">
      <c r="B36" s="203">
        <f t="shared" si="2"/>
        <v>1974</v>
      </c>
      <c r="C36" s="75">
        <v>10</v>
      </c>
      <c r="D36" s="196">
        <f t="shared" si="3"/>
        <v>380</v>
      </c>
      <c r="E36" s="204">
        <f t="shared" si="4"/>
        <v>3800</v>
      </c>
      <c r="F36" s="198">
        <f t="shared" si="9"/>
        <v>0.9</v>
      </c>
      <c r="G36" s="199">
        <f t="shared" si="9"/>
        <v>0.30099999999999999</v>
      </c>
      <c r="H36" s="199">
        <f t="shared" si="9"/>
        <v>0</v>
      </c>
      <c r="I36" s="199">
        <f t="shared" si="9"/>
        <v>0.218</v>
      </c>
      <c r="J36" s="199">
        <f t="shared" si="9"/>
        <v>7.4999999999999997E-2</v>
      </c>
      <c r="K36" s="199">
        <f t="shared" si="9"/>
        <v>4.7E-2</v>
      </c>
      <c r="L36" s="199">
        <f t="shared" si="9"/>
        <v>0</v>
      </c>
      <c r="M36" s="199">
        <f t="shared" si="5"/>
        <v>0.35899999999999999</v>
      </c>
      <c r="N36" s="205">
        <f t="shared" si="7"/>
        <v>1</v>
      </c>
      <c r="Q36" s="203">
        <f t="shared" si="6"/>
        <v>1974</v>
      </c>
      <c r="R36" s="75">
        <v>100</v>
      </c>
      <c r="S36" s="75">
        <v>0</v>
      </c>
      <c r="T36" s="206">
        <f t="shared" si="8"/>
        <v>0</v>
      </c>
      <c r="U36" s="207">
        <v>1</v>
      </c>
      <c r="V36" s="43">
        <f t="shared" si="1"/>
        <v>0</v>
      </c>
    </row>
    <row r="37" spans="2:22" x14ac:dyDescent="0.25">
      <c r="B37" s="203">
        <f t="shared" si="2"/>
        <v>1975</v>
      </c>
      <c r="C37" s="75">
        <v>10</v>
      </c>
      <c r="D37" s="196">
        <f t="shared" si="3"/>
        <v>380</v>
      </c>
      <c r="E37" s="204">
        <f t="shared" si="4"/>
        <v>3800</v>
      </c>
      <c r="F37" s="198">
        <f t="shared" si="9"/>
        <v>0.9</v>
      </c>
      <c r="G37" s="199">
        <f t="shared" si="9"/>
        <v>0.30099999999999999</v>
      </c>
      <c r="H37" s="199">
        <f t="shared" si="9"/>
        <v>0</v>
      </c>
      <c r="I37" s="199">
        <f t="shared" si="9"/>
        <v>0.218</v>
      </c>
      <c r="J37" s="199">
        <f t="shared" si="9"/>
        <v>7.4999999999999997E-2</v>
      </c>
      <c r="K37" s="199">
        <f t="shared" si="9"/>
        <v>4.7E-2</v>
      </c>
      <c r="L37" s="199">
        <f t="shared" si="9"/>
        <v>0</v>
      </c>
      <c r="M37" s="199">
        <f t="shared" si="5"/>
        <v>0.35899999999999999</v>
      </c>
      <c r="N37" s="205">
        <f t="shared" si="7"/>
        <v>1</v>
      </c>
      <c r="Q37" s="203">
        <f t="shared" si="6"/>
        <v>1975</v>
      </c>
      <c r="R37" s="75">
        <v>100</v>
      </c>
      <c r="S37" s="75">
        <v>0</v>
      </c>
      <c r="T37" s="206">
        <f t="shared" si="8"/>
        <v>0</v>
      </c>
      <c r="U37" s="207">
        <v>1</v>
      </c>
      <c r="V37" s="43">
        <f t="shared" si="1"/>
        <v>0</v>
      </c>
    </row>
    <row r="38" spans="2:22" x14ac:dyDescent="0.25">
      <c r="B38" s="203">
        <f t="shared" si="2"/>
        <v>1976</v>
      </c>
      <c r="C38" s="75">
        <v>10</v>
      </c>
      <c r="D38" s="196">
        <f t="shared" si="3"/>
        <v>380</v>
      </c>
      <c r="E38" s="204">
        <f t="shared" si="4"/>
        <v>3800</v>
      </c>
      <c r="F38" s="198">
        <f t="shared" si="9"/>
        <v>0.9</v>
      </c>
      <c r="G38" s="199">
        <f t="shared" si="9"/>
        <v>0.30099999999999999</v>
      </c>
      <c r="H38" s="199">
        <f t="shared" si="9"/>
        <v>0</v>
      </c>
      <c r="I38" s="199">
        <f t="shared" si="9"/>
        <v>0.218</v>
      </c>
      <c r="J38" s="199">
        <f t="shared" si="9"/>
        <v>7.4999999999999997E-2</v>
      </c>
      <c r="K38" s="199">
        <f t="shared" si="9"/>
        <v>4.7E-2</v>
      </c>
      <c r="L38" s="199">
        <f t="shared" si="9"/>
        <v>0</v>
      </c>
      <c r="M38" s="199">
        <f t="shared" si="5"/>
        <v>0.35899999999999999</v>
      </c>
      <c r="N38" s="205">
        <f t="shared" si="7"/>
        <v>1</v>
      </c>
      <c r="Q38" s="203">
        <f t="shared" si="6"/>
        <v>1976</v>
      </c>
      <c r="R38" s="75">
        <v>100</v>
      </c>
      <c r="S38" s="75">
        <v>0</v>
      </c>
      <c r="T38" s="206">
        <f t="shared" si="8"/>
        <v>0</v>
      </c>
      <c r="U38" s="207">
        <v>1</v>
      </c>
      <c r="V38" s="43">
        <f t="shared" si="1"/>
        <v>0</v>
      </c>
    </row>
    <row r="39" spans="2:22" x14ac:dyDescent="0.25">
      <c r="B39" s="203">
        <f t="shared" si="2"/>
        <v>1977</v>
      </c>
      <c r="C39" s="75">
        <v>10</v>
      </c>
      <c r="D39" s="196">
        <f t="shared" si="3"/>
        <v>380</v>
      </c>
      <c r="E39" s="204">
        <f t="shared" si="4"/>
        <v>3800</v>
      </c>
      <c r="F39" s="198">
        <f t="shared" si="9"/>
        <v>0.9</v>
      </c>
      <c r="G39" s="199">
        <f t="shared" si="9"/>
        <v>0.30099999999999999</v>
      </c>
      <c r="H39" s="199">
        <f t="shared" si="9"/>
        <v>0</v>
      </c>
      <c r="I39" s="199">
        <f t="shared" si="9"/>
        <v>0.218</v>
      </c>
      <c r="J39" s="199">
        <f t="shared" si="9"/>
        <v>7.4999999999999997E-2</v>
      </c>
      <c r="K39" s="199">
        <f t="shared" si="9"/>
        <v>4.7E-2</v>
      </c>
      <c r="L39" s="199">
        <f t="shared" si="9"/>
        <v>0</v>
      </c>
      <c r="M39" s="199">
        <f t="shared" si="5"/>
        <v>0.35899999999999999</v>
      </c>
      <c r="N39" s="205">
        <f t="shared" si="7"/>
        <v>1</v>
      </c>
      <c r="Q39" s="203">
        <f t="shared" si="6"/>
        <v>1977</v>
      </c>
      <c r="R39" s="75">
        <v>100</v>
      </c>
      <c r="S39" s="75">
        <v>0</v>
      </c>
      <c r="T39" s="206">
        <f t="shared" si="8"/>
        <v>0</v>
      </c>
      <c r="U39" s="207">
        <v>1</v>
      </c>
      <c r="V39" s="43">
        <f t="shared" si="1"/>
        <v>0</v>
      </c>
    </row>
    <row r="40" spans="2:22" x14ac:dyDescent="0.25">
      <c r="B40" s="203">
        <f t="shared" si="2"/>
        <v>1978</v>
      </c>
      <c r="C40" s="75">
        <v>10</v>
      </c>
      <c r="D40" s="196">
        <f t="shared" si="3"/>
        <v>380</v>
      </c>
      <c r="E40" s="204">
        <f t="shared" si="4"/>
        <v>3800</v>
      </c>
      <c r="F40" s="198">
        <f t="shared" si="9"/>
        <v>0.9</v>
      </c>
      <c r="G40" s="199">
        <f t="shared" si="9"/>
        <v>0.30099999999999999</v>
      </c>
      <c r="H40" s="199">
        <f t="shared" si="9"/>
        <v>0</v>
      </c>
      <c r="I40" s="199">
        <f t="shared" si="9"/>
        <v>0.218</v>
      </c>
      <c r="J40" s="199">
        <f t="shared" si="9"/>
        <v>7.4999999999999997E-2</v>
      </c>
      <c r="K40" s="199">
        <f t="shared" si="9"/>
        <v>4.7E-2</v>
      </c>
      <c r="L40" s="199">
        <f t="shared" si="9"/>
        <v>0</v>
      </c>
      <c r="M40" s="199">
        <f t="shared" si="5"/>
        <v>0.35899999999999999</v>
      </c>
      <c r="N40" s="205">
        <f t="shared" si="7"/>
        <v>1</v>
      </c>
      <c r="Q40" s="203">
        <f t="shared" si="6"/>
        <v>1978</v>
      </c>
      <c r="R40" s="75">
        <v>100</v>
      </c>
      <c r="S40" s="75">
        <v>0</v>
      </c>
      <c r="T40" s="206">
        <f t="shared" si="8"/>
        <v>0</v>
      </c>
      <c r="U40" s="207">
        <v>1</v>
      </c>
      <c r="V40" s="43">
        <f t="shared" si="1"/>
        <v>0</v>
      </c>
    </row>
    <row r="41" spans="2:22" x14ac:dyDescent="0.25">
      <c r="B41" s="203">
        <f t="shared" si="2"/>
        <v>1979</v>
      </c>
      <c r="C41" s="75">
        <v>10</v>
      </c>
      <c r="D41" s="196">
        <f t="shared" si="3"/>
        <v>380</v>
      </c>
      <c r="E41" s="204">
        <f t="shared" si="4"/>
        <v>3800</v>
      </c>
      <c r="F41" s="198">
        <f t="shared" si="9"/>
        <v>0.9</v>
      </c>
      <c r="G41" s="199">
        <f t="shared" si="9"/>
        <v>0.30099999999999999</v>
      </c>
      <c r="H41" s="199">
        <f t="shared" si="9"/>
        <v>0</v>
      </c>
      <c r="I41" s="199">
        <f t="shared" si="9"/>
        <v>0.218</v>
      </c>
      <c r="J41" s="199">
        <f t="shared" si="9"/>
        <v>7.4999999999999997E-2</v>
      </c>
      <c r="K41" s="199">
        <f t="shared" si="9"/>
        <v>4.7E-2</v>
      </c>
      <c r="L41" s="199">
        <f t="shared" si="9"/>
        <v>0</v>
      </c>
      <c r="M41" s="199">
        <f t="shared" si="5"/>
        <v>0.35899999999999999</v>
      </c>
      <c r="N41" s="205">
        <f t="shared" si="7"/>
        <v>1</v>
      </c>
      <c r="Q41" s="203">
        <f t="shared" si="6"/>
        <v>1979</v>
      </c>
      <c r="R41" s="75">
        <v>100</v>
      </c>
      <c r="S41" s="75">
        <v>0</v>
      </c>
      <c r="T41" s="206">
        <f t="shared" si="8"/>
        <v>0</v>
      </c>
      <c r="U41" s="207">
        <v>1</v>
      </c>
      <c r="V41" s="43">
        <f t="shared" si="1"/>
        <v>0</v>
      </c>
    </row>
    <row r="42" spans="2:22" x14ac:dyDescent="0.25">
      <c r="B42" s="203">
        <f t="shared" si="2"/>
        <v>1980</v>
      </c>
      <c r="C42" s="75">
        <v>10</v>
      </c>
      <c r="D42" s="196">
        <f t="shared" si="3"/>
        <v>380</v>
      </c>
      <c r="E42" s="204">
        <f t="shared" si="4"/>
        <v>3800</v>
      </c>
      <c r="F42" s="198">
        <f t="shared" si="9"/>
        <v>0.9</v>
      </c>
      <c r="G42" s="199">
        <f t="shared" si="9"/>
        <v>0.30099999999999999</v>
      </c>
      <c r="H42" s="199">
        <f t="shared" si="9"/>
        <v>0</v>
      </c>
      <c r="I42" s="199">
        <f t="shared" si="9"/>
        <v>0.218</v>
      </c>
      <c r="J42" s="199">
        <f t="shared" si="9"/>
        <v>7.4999999999999997E-2</v>
      </c>
      <c r="K42" s="199">
        <f t="shared" si="9"/>
        <v>4.7E-2</v>
      </c>
      <c r="L42" s="199">
        <f t="shared" si="9"/>
        <v>0</v>
      </c>
      <c r="M42" s="199">
        <f t="shared" si="5"/>
        <v>0.35899999999999999</v>
      </c>
      <c r="N42" s="205">
        <f t="shared" si="7"/>
        <v>1</v>
      </c>
      <c r="Q42" s="203">
        <f t="shared" si="6"/>
        <v>1980</v>
      </c>
      <c r="R42" s="75">
        <v>100</v>
      </c>
      <c r="S42" s="75">
        <v>0</v>
      </c>
      <c r="T42" s="206">
        <f t="shared" si="8"/>
        <v>0</v>
      </c>
      <c r="U42" s="207">
        <v>1</v>
      </c>
      <c r="V42" s="43">
        <f t="shared" si="1"/>
        <v>0</v>
      </c>
    </row>
    <row r="43" spans="2:22" x14ac:dyDescent="0.25">
      <c r="B43" s="203">
        <f t="shared" si="2"/>
        <v>1981</v>
      </c>
      <c r="C43" s="75">
        <v>10</v>
      </c>
      <c r="D43" s="196">
        <f t="shared" si="3"/>
        <v>380</v>
      </c>
      <c r="E43" s="204">
        <f t="shared" si="4"/>
        <v>3800</v>
      </c>
      <c r="F43" s="198">
        <f t="shared" si="9"/>
        <v>0.9</v>
      </c>
      <c r="G43" s="199">
        <f t="shared" si="9"/>
        <v>0.30099999999999999</v>
      </c>
      <c r="H43" s="199">
        <f t="shared" si="9"/>
        <v>0</v>
      </c>
      <c r="I43" s="199">
        <f t="shared" si="9"/>
        <v>0.218</v>
      </c>
      <c r="J43" s="199">
        <f t="shared" si="9"/>
        <v>7.4999999999999997E-2</v>
      </c>
      <c r="K43" s="199">
        <f t="shared" si="9"/>
        <v>4.7E-2</v>
      </c>
      <c r="L43" s="199">
        <f t="shared" si="9"/>
        <v>0</v>
      </c>
      <c r="M43" s="199">
        <f t="shared" si="5"/>
        <v>0.35899999999999999</v>
      </c>
      <c r="N43" s="205">
        <f t="shared" si="7"/>
        <v>1</v>
      </c>
      <c r="Q43" s="203">
        <f t="shared" si="6"/>
        <v>1981</v>
      </c>
      <c r="R43" s="75">
        <v>100</v>
      </c>
      <c r="S43" s="75">
        <v>0</v>
      </c>
      <c r="T43" s="206">
        <f t="shared" si="8"/>
        <v>0</v>
      </c>
      <c r="U43" s="207">
        <v>1</v>
      </c>
      <c r="V43" s="43">
        <f t="shared" si="1"/>
        <v>0</v>
      </c>
    </row>
    <row r="44" spans="2:22" x14ac:dyDescent="0.25">
      <c r="B44" s="203">
        <f t="shared" si="2"/>
        <v>1982</v>
      </c>
      <c r="C44" s="75">
        <v>10</v>
      </c>
      <c r="D44" s="196">
        <f t="shared" si="3"/>
        <v>380</v>
      </c>
      <c r="E44" s="204">
        <f t="shared" si="4"/>
        <v>3800</v>
      </c>
      <c r="F44" s="198">
        <f t="shared" ref="F44:L59" si="10">F$8</f>
        <v>0.9</v>
      </c>
      <c r="G44" s="199">
        <f t="shared" si="10"/>
        <v>0.30099999999999999</v>
      </c>
      <c r="H44" s="199">
        <f t="shared" si="10"/>
        <v>0</v>
      </c>
      <c r="I44" s="199">
        <f t="shared" si="10"/>
        <v>0.218</v>
      </c>
      <c r="J44" s="199">
        <f t="shared" si="10"/>
        <v>7.4999999999999997E-2</v>
      </c>
      <c r="K44" s="199">
        <f t="shared" si="10"/>
        <v>4.7E-2</v>
      </c>
      <c r="L44" s="199">
        <f t="shared" si="10"/>
        <v>0</v>
      </c>
      <c r="M44" s="199">
        <f t="shared" si="5"/>
        <v>0.35899999999999999</v>
      </c>
      <c r="N44" s="205">
        <f t="shared" si="7"/>
        <v>1</v>
      </c>
      <c r="Q44" s="203">
        <f t="shared" si="6"/>
        <v>1982</v>
      </c>
      <c r="R44" s="75">
        <v>100</v>
      </c>
      <c r="S44" s="75">
        <v>0</v>
      </c>
      <c r="T44" s="206">
        <f t="shared" si="8"/>
        <v>0</v>
      </c>
      <c r="U44" s="207">
        <v>1</v>
      </c>
      <c r="V44" s="43">
        <f t="shared" si="1"/>
        <v>0</v>
      </c>
    </row>
    <row r="45" spans="2:22" x14ac:dyDescent="0.25">
      <c r="B45" s="203">
        <f t="shared" si="2"/>
        <v>1983</v>
      </c>
      <c r="C45" s="75">
        <v>10</v>
      </c>
      <c r="D45" s="196">
        <f t="shared" si="3"/>
        <v>380</v>
      </c>
      <c r="E45" s="204">
        <f t="shared" si="4"/>
        <v>3800</v>
      </c>
      <c r="F45" s="198">
        <f t="shared" si="10"/>
        <v>0.9</v>
      </c>
      <c r="G45" s="199">
        <f t="shared" si="10"/>
        <v>0.30099999999999999</v>
      </c>
      <c r="H45" s="199">
        <f t="shared" si="10"/>
        <v>0</v>
      </c>
      <c r="I45" s="199">
        <f t="shared" si="10"/>
        <v>0.218</v>
      </c>
      <c r="J45" s="199">
        <f t="shared" si="10"/>
        <v>7.4999999999999997E-2</v>
      </c>
      <c r="K45" s="199">
        <f t="shared" si="10"/>
        <v>4.7E-2</v>
      </c>
      <c r="L45" s="199">
        <f t="shared" si="10"/>
        <v>0</v>
      </c>
      <c r="M45" s="199">
        <f t="shared" si="5"/>
        <v>0.35899999999999999</v>
      </c>
      <c r="N45" s="205">
        <f t="shared" si="7"/>
        <v>1</v>
      </c>
      <c r="Q45" s="203">
        <f t="shared" si="6"/>
        <v>1983</v>
      </c>
      <c r="R45" s="75">
        <v>100</v>
      </c>
      <c r="S45" s="75">
        <v>0</v>
      </c>
      <c r="T45" s="206">
        <f t="shared" si="8"/>
        <v>0</v>
      </c>
      <c r="U45" s="207">
        <v>1</v>
      </c>
      <c r="V45" s="43">
        <f t="shared" si="1"/>
        <v>0</v>
      </c>
    </row>
    <row r="46" spans="2:22" x14ac:dyDescent="0.25">
      <c r="B46" s="203">
        <f t="shared" si="2"/>
        <v>1984</v>
      </c>
      <c r="C46" s="75">
        <v>10</v>
      </c>
      <c r="D46" s="196">
        <f t="shared" si="3"/>
        <v>380</v>
      </c>
      <c r="E46" s="204">
        <f t="shared" si="4"/>
        <v>3800</v>
      </c>
      <c r="F46" s="198">
        <f t="shared" si="10"/>
        <v>0.9</v>
      </c>
      <c r="G46" s="199">
        <f t="shared" si="10"/>
        <v>0.30099999999999999</v>
      </c>
      <c r="H46" s="199">
        <f t="shared" si="10"/>
        <v>0</v>
      </c>
      <c r="I46" s="199">
        <f t="shared" si="10"/>
        <v>0.218</v>
      </c>
      <c r="J46" s="199">
        <f t="shared" si="10"/>
        <v>7.4999999999999997E-2</v>
      </c>
      <c r="K46" s="199">
        <f t="shared" si="10"/>
        <v>4.7E-2</v>
      </c>
      <c r="L46" s="199">
        <f t="shared" si="10"/>
        <v>0</v>
      </c>
      <c r="M46" s="199">
        <f t="shared" si="5"/>
        <v>0.35899999999999999</v>
      </c>
      <c r="N46" s="205">
        <f t="shared" si="7"/>
        <v>1</v>
      </c>
      <c r="Q46" s="203">
        <f t="shared" si="6"/>
        <v>1984</v>
      </c>
      <c r="R46" s="75">
        <v>100</v>
      </c>
      <c r="S46" s="75">
        <v>0</v>
      </c>
      <c r="T46" s="206">
        <f t="shared" si="8"/>
        <v>0</v>
      </c>
      <c r="U46" s="207">
        <v>1</v>
      </c>
      <c r="V46" s="43">
        <f t="shared" si="1"/>
        <v>0</v>
      </c>
    </row>
    <row r="47" spans="2:22" x14ac:dyDescent="0.25">
      <c r="B47" s="203">
        <f t="shared" si="2"/>
        <v>1985</v>
      </c>
      <c r="C47" s="75">
        <v>10</v>
      </c>
      <c r="D47" s="196">
        <f t="shared" si="3"/>
        <v>380</v>
      </c>
      <c r="E47" s="204">
        <f t="shared" si="4"/>
        <v>3800</v>
      </c>
      <c r="F47" s="198">
        <f t="shared" si="10"/>
        <v>0.9</v>
      </c>
      <c r="G47" s="199">
        <f t="shared" si="10"/>
        <v>0.30099999999999999</v>
      </c>
      <c r="H47" s="199">
        <f t="shared" si="10"/>
        <v>0</v>
      </c>
      <c r="I47" s="199">
        <f t="shared" si="10"/>
        <v>0.218</v>
      </c>
      <c r="J47" s="199">
        <f t="shared" si="10"/>
        <v>7.4999999999999997E-2</v>
      </c>
      <c r="K47" s="199">
        <f t="shared" si="10"/>
        <v>4.7E-2</v>
      </c>
      <c r="L47" s="199">
        <f t="shared" si="10"/>
        <v>0</v>
      </c>
      <c r="M47" s="199">
        <f t="shared" si="5"/>
        <v>0.35899999999999999</v>
      </c>
      <c r="N47" s="205">
        <f t="shared" si="7"/>
        <v>1</v>
      </c>
      <c r="Q47" s="203">
        <f t="shared" si="6"/>
        <v>1985</v>
      </c>
      <c r="R47" s="75">
        <v>100</v>
      </c>
      <c r="S47" s="75">
        <v>0</v>
      </c>
      <c r="T47" s="206">
        <f t="shared" si="8"/>
        <v>0</v>
      </c>
      <c r="U47" s="207">
        <v>1</v>
      </c>
      <c r="V47" s="43">
        <f t="shared" si="1"/>
        <v>0</v>
      </c>
    </row>
    <row r="48" spans="2:22" x14ac:dyDescent="0.25">
      <c r="B48" s="203">
        <f t="shared" si="2"/>
        <v>1986</v>
      </c>
      <c r="C48" s="75">
        <v>10</v>
      </c>
      <c r="D48" s="196">
        <f t="shared" si="3"/>
        <v>380</v>
      </c>
      <c r="E48" s="204">
        <f t="shared" si="4"/>
        <v>3800</v>
      </c>
      <c r="F48" s="198">
        <f t="shared" si="10"/>
        <v>0.9</v>
      </c>
      <c r="G48" s="199">
        <f t="shared" si="10"/>
        <v>0.30099999999999999</v>
      </c>
      <c r="H48" s="199">
        <f t="shared" si="10"/>
        <v>0</v>
      </c>
      <c r="I48" s="199">
        <f t="shared" si="10"/>
        <v>0.218</v>
      </c>
      <c r="J48" s="199">
        <f t="shared" si="10"/>
        <v>7.4999999999999997E-2</v>
      </c>
      <c r="K48" s="199">
        <f t="shared" si="10"/>
        <v>4.7E-2</v>
      </c>
      <c r="L48" s="199">
        <f t="shared" si="10"/>
        <v>0</v>
      </c>
      <c r="M48" s="199">
        <f t="shared" si="5"/>
        <v>0.35899999999999999</v>
      </c>
      <c r="N48" s="205">
        <f t="shared" si="7"/>
        <v>1</v>
      </c>
      <c r="Q48" s="203">
        <f t="shared" si="6"/>
        <v>1986</v>
      </c>
      <c r="R48" s="75">
        <v>100</v>
      </c>
      <c r="S48" s="75">
        <v>0</v>
      </c>
      <c r="T48" s="206">
        <f t="shared" si="8"/>
        <v>0</v>
      </c>
      <c r="U48" s="207">
        <v>1</v>
      </c>
      <c r="V48" s="43">
        <f t="shared" si="1"/>
        <v>0</v>
      </c>
    </row>
    <row r="49" spans="2:22" x14ac:dyDescent="0.25">
      <c r="B49" s="203">
        <f t="shared" si="2"/>
        <v>1987</v>
      </c>
      <c r="C49" s="75">
        <v>10</v>
      </c>
      <c r="D49" s="196">
        <f t="shared" si="3"/>
        <v>380</v>
      </c>
      <c r="E49" s="204">
        <f t="shared" si="4"/>
        <v>3800</v>
      </c>
      <c r="F49" s="198">
        <f t="shared" si="10"/>
        <v>0.9</v>
      </c>
      <c r="G49" s="199">
        <f t="shared" si="10"/>
        <v>0.30099999999999999</v>
      </c>
      <c r="H49" s="199">
        <f t="shared" si="10"/>
        <v>0</v>
      </c>
      <c r="I49" s="199">
        <f t="shared" si="10"/>
        <v>0.218</v>
      </c>
      <c r="J49" s="199">
        <f t="shared" si="10"/>
        <v>7.4999999999999997E-2</v>
      </c>
      <c r="K49" s="199">
        <f t="shared" si="10"/>
        <v>4.7E-2</v>
      </c>
      <c r="L49" s="199">
        <f t="shared" si="10"/>
        <v>0</v>
      </c>
      <c r="M49" s="199">
        <f t="shared" si="5"/>
        <v>0.35899999999999999</v>
      </c>
      <c r="N49" s="205">
        <f t="shared" si="7"/>
        <v>1</v>
      </c>
      <c r="Q49" s="203">
        <f t="shared" si="6"/>
        <v>1987</v>
      </c>
      <c r="R49" s="75">
        <v>100</v>
      </c>
      <c r="S49" s="75">
        <v>0</v>
      </c>
      <c r="T49" s="206">
        <f t="shared" si="8"/>
        <v>0</v>
      </c>
      <c r="U49" s="207">
        <v>1</v>
      </c>
      <c r="V49" s="43">
        <f t="shared" si="1"/>
        <v>0</v>
      </c>
    </row>
    <row r="50" spans="2:22" x14ac:dyDescent="0.25">
      <c r="B50" s="203">
        <f t="shared" si="2"/>
        <v>1988</v>
      </c>
      <c r="C50" s="75">
        <v>10</v>
      </c>
      <c r="D50" s="196">
        <f t="shared" si="3"/>
        <v>380</v>
      </c>
      <c r="E50" s="204">
        <f t="shared" si="4"/>
        <v>3800</v>
      </c>
      <c r="F50" s="198">
        <f t="shared" si="10"/>
        <v>0.9</v>
      </c>
      <c r="G50" s="199">
        <f t="shared" si="10"/>
        <v>0.30099999999999999</v>
      </c>
      <c r="H50" s="199">
        <f t="shared" si="10"/>
        <v>0</v>
      </c>
      <c r="I50" s="199">
        <f t="shared" si="10"/>
        <v>0.218</v>
      </c>
      <c r="J50" s="199">
        <f t="shared" si="10"/>
        <v>7.4999999999999997E-2</v>
      </c>
      <c r="K50" s="199">
        <f t="shared" si="10"/>
        <v>4.7E-2</v>
      </c>
      <c r="L50" s="199">
        <f t="shared" si="10"/>
        <v>0</v>
      </c>
      <c r="M50" s="199">
        <f t="shared" si="5"/>
        <v>0.35899999999999999</v>
      </c>
      <c r="N50" s="205">
        <f t="shared" si="7"/>
        <v>1</v>
      </c>
      <c r="Q50" s="203">
        <f t="shared" si="6"/>
        <v>1988</v>
      </c>
      <c r="R50" s="75">
        <v>100</v>
      </c>
      <c r="S50" s="75">
        <v>0</v>
      </c>
      <c r="T50" s="206">
        <f t="shared" si="8"/>
        <v>0</v>
      </c>
      <c r="U50" s="207">
        <v>1</v>
      </c>
      <c r="V50" s="43">
        <f t="shared" si="1"/>
        <v>0</v>
      </c>
    </row>
    <row r="51" spans="2:22" x14ac:dyDescent="0.25">
      <c r="B51" s="203">
        <f t="shared" si="2"/>
        <v>1989</v>
      </c>
      <c r="C51" s="75">
        <v>10</v>
      </c>
      <c r="D51" s="196">
        <f t="shared" si="3"/>
        <v>380</v>
      </c>
      <c r="E51" s="204">
        <f t="shared" si="4"/>
        <v>3800</v>
      </c>
      <c r="F51" s="198">
        <f t="shared" si="10"/>
        <v>0.9</v>
      </c>
      <c r="G51" s="199">
        <f t="shared" si="10"/>
        <v>0.30099999999999999</v>
      </c>
      <c r="H51" s="199">
        <f t="shared" si="10"/>
        <v>0</v>
      </c>
      <c r="I51" s="199">
        <f t="shared" si="10"/>
        <v>0.218</v>
      </c>
      <c r="J51" s="199">
        <f t="shared" si="10"/>
        <v>7.4999999999999997E-2</v>
      </c>
      <c r="K51" s="199">
        <f t="shared" si="10"/>
        <v>4.7E-2</v>
      </c>
      <c r="L51" s="199">
        <f t="shared" si="10"/>
        <v>0</v>
      </c>
      <c r="M51" s="199">
        <f t="shared" si="5"/>
        <v>0.35899999999999999</v>
      </c>
      <c r="N51" s="205">
        <f t="shared" si="7"/>
        <v>1</v>
      </c>
      <c r="Q51" s="203">
        <f t="shared" si="6"/>
        <v>1989</v>
      </c>
      <c r="R51" s="75">
        <v>100</v>
      </c>
      <c r="S51" s="75">
        <v>0</v>
      </c>
      <c r="T51" s="206">
        <f t="shared" si="8"/>
        <v>0</v>
      </c>
      <c r="U51" s="207">
        <v>1</v>
      </c>
      <c r="V51" s="43">
        <f t="shared" si="1"/>
        <v>0</v>
      </c>
    </row>
    <row r="52" spans="2:22" x14ac:dyDescent="0.25">
      <c r="B52" s="203">
        <f t="shared" si="2"/>
        <v>1990</v>
      </c>
      <c r="C52" s="75">
        <v>10</v>
      </c>
      <c r="D52" s="196">
        <f t="shared" si="3"/>
        <v>380</v>
      </c>
      <c r="E52" s="204">
        <f t="shared" si="4"/>
        <v>3800</v>
      </c>
      <c r="F52" s="198">
        <f t="shared" si="10"/>
        <v>0.9</v>
      </c>
      <c r="G52" s="199">
        <f t="shared" si="10"/>
        <v>0.30099999999999999</v>
      </c>
      <c r="H52" s="199">
        <f t="shared" si="10"/>
        <v>0</v>
      </c>
      <c r="I52" s="199">
        <f t="shared" si="10"/>
        <v>0.218</v>
      </c>
      <c r="J52" s="199">
        <f t="shared" si="10"/>
        <v>7.4999999999999997E-2</v>
      </c>
      <c r="K52" s="199">
        <f t="shared" si="10"/>
        <v>4.7E-2</v>
      </c>
      <c r="L52" s="199">
        <f t="shared" si="10"/>
        <v>0</v>
      </c>
      <c r="M52" s="199">
        <f t="shared" si="5"/>
        <v>0.35899999999999999</v>
      </c>
      <c r="N52" s="205">
        <f t="shared" si="7"/>
        <v>1</v>
      </c>
      <c r="Q52" s="203">
        <f t="shared" si="6"/>
        <v>1990</v>
      </c>
      <c r="R52" s="75">
        <v>100</v>
      </c>
      <c r="S52" s="75">
        <v>0</v>
      </c>
      <c r="T52" s="206">
        <f t="shared" si="8"/>
        <v>0</v>
      </c>
      <c r="U52" s="207">
        <v>1</v>
      </c>
      <c r="V52" s="43">
        <f t="shared" si="1"/>
        <v>0</v>
      </c>
    </row>
    <row r="53" spans="2:22" x14ac:dyDescent="0.25">
      <c r="B53" s="203">
        <f t="shared" si="2"/>
        <v>1991</v>
      </c>
      <c r="C53" s="75">
        <v>10</v>
      </c>
      <c r="D53" s="196">
        <v>237.1</v>
      </c>
      <c r="E53" s="204">
        <f t="shared" si="4"/>
        <v>2371</v>
      </c>
      <c r="F53" s="198">
        <f>F$8</f>
        <v>0.9</v>
      </c>
      <c r="G53" s="199">
        <f>G$8</f>
        <v>0.30099999999999999</v>
      </c>
      <c r="H53" s="199">
        <f>H$8</f>
        <v>0</v>
      </c>
      <c r="I53" s="199">
        <f>I$8</f>
        <v>0.218</v>
      </c>
      <c r="J53" s="199">
        <f>J$8</f>
        <v>7.4999999999999997E-2</v>
      </c>
      <c r="K53" s="199">
        <f t="shared" si="10"/>
        <v>4.7E-2</v>
      </c>
      <c r="L53" s="199">
        <f t="shared" si="10"/>
        <v>0</v>
      </c>
      <c r="M53" s="199">
        <f t="shared" si="5"/>
        <v>0.35899999999999999</v>
      </c>
      <c r="N53" s="205">
        <f t="shared" si="7"/>
        <v>1</v>
      </c>
      <c r="Q53" s="203">
        <f t="shared" si="6"/>
        <v>1991</v>
      </c>
      <c r="R53" s="75">
        <v>100</v>
      </c>
      <c r="S53" s="75">
        <v>0</v>
      </c>
      <c r="T53" s="206">
        <f t="shared" si="8"/>
        <v>0</v>
      </c>
      <c r="U53" s="207">
        <v>1</v>
      </c>
      <c r="V53" s="43">
        <f t="shared" si="1"/>
        <v>0</v>
      </c>
    </row>
    <row r="54" spans="2:22" x14ac:dyDescent="0.25">
      <c r="B54" s="203">
        <f t="shared" si="2"/>
        <v>1992</v>
      </c>
      <c r="C54" s="75">
        <v>10</v>
      </c>
      <c r="D54" s="196">
        <v>238.8</v>
      </c>
      <c r="E54" s="204">
        <f t="shared" si="4"/>
        <v>2388</v>
      </c>
      <c r="F54" s="198">
        <f t="shared" si="10"/>
        <v>0.9</v>
      </c>
      <c r="G54" s="199">
        <f t="shared" si="10"/>
        <v>0.30099999999999999</v>
      </c>
      <c r="H54" s="199">
        <f t="shared" si="10"/>
        <v>0</v>
      </c>
      <c r="I54" s="199">
        <f t="shared" si="10"/>
        <v>0.218</v>
      </c>
      <c r="J54" s="199">
        <f t="shared" si="10"/>
        <v>7.4999999999999997E-2</v>
      </c>
      <c r="K54" s="199">
        <f t="shared" si="10"/>
        <v>4.7E-2</v>
      </c>
      <c r="L54" s="199">
        <f t="shared" si="10"/>
        <v>0</v>
      </c>
      <c r="M54" s="199">
        <f t="shared" si="5"/>
        <v>0.35899999999999999</v>
      </c>
      <c r="N54" s="205">
        <f t="shared" si="7"/>
        <v>1</v>
      </c>
      <c r="Q54" s="203">
        <f t="shared" si="6"/>
        <v>1992</v>
      </c>
      <c r="R54" s="75">
        <v>100</v>
      </c>
      <c r="S54" s="75">
        <v>0</v>
      </c>
      <c r="T54" s="206">
        <f t="shared" si="8"/>
        <v>0</v>
      </c>
      <c r="U54" s="207">
        <v>1</v>
      </c>
      <c r="V54" s="43">
        <f t="shared" si="1"/>
        <v>0</v>
      </c>
    </row>
    <row r="55" spans="2:22" x14ac:dyDescent="0.25">
      <c r="B55" s="203">
        <f t="shared" si="2"/>
        <v>1993</v>
      </c>
      <c r="C55" s="75">
        <v>10</v>
      </c>
      <c r="D55" s="196">
        <v>248.4</v>
      </c>
      <c r="E55" s="204">
        <f t="shared" si="4"/>
        <v>2484</v>
      </c>
      <c r="F55" s="198">
        <f t="shared" si="10"/>
        <v>0.9</v>
      </c>
      <c r="G55" s="199">
        <f t="shared" si="10"/>
        <v>0.30099999999999999</v>
      </c>
      <c r="H55" s="199">
        <f t="shared" si="10"/>
        <v>0</v>
      </c>
      <c r="I55" s="199">
        <f t="shared" si="10"/>
        <v>0.218</v>
      </c>
      <c r="J55" s="199">
        <f t="shared" si="10"/>
        <v>7.4999999999999997E-2</v>
      </c>
      <c r="K55" s="199">
        <f t="shared" si="10"/>
        <v>4.7E-2</v>
      </c>
      <c r="L55" s="199">
        <f t="shared" si="10"/>
        <v>0</v>
      </c>
      <c r="M55" s="199">
        <f t="shared" si="5"/>
        <v>0.35899999999999999</v>
      </c>
      <c r="N55" s="205">
        <f t="shared" si="7"/>
        <v>1</v>
      </c>
      <c r="Q55" s="203">
        <f t="shared" si="6"/>
        <v>1993</v>
      </c>
      <c r="R55" s="75">
        <v>100</v>
      </c>
      <c r="S55" s="75">
        <v>0</v>
      </c>
      <c r="T55" s="206">
        <f t="shared" si="8"/>
        <v>0</v>
      </c>
      <c r="U55" s="207">
        <v>1</v>
      </c>
      <c r="V55" s="43">
        <f t="shared" si="1"/>
        <v>0</v>
      </c>
    </row>
    <row r="56" spans="2:22" x14ac:dyDescent="0.25">
      <c r="B56" s="203">
        <f t="shared" si="2"/>
        <v>1994</v>
      </c>
      <c r="C56" s="75">
        <v>10</v>
      </c>
      <c r="D56" s="196">
        <v>254.3</v>
      </c>
      <c r="E56" s="204">
        <f t="shared" si="4"/>
        <v>2543</v>
      </c>
      <c r="F56" s="198">
        <f t="shared" si="10"/>
        <v>0.9</v>
      </c>
      <c r="G56" s="199">
        <f t="shared" si="10"/>
        <v>0.30099999999999999</v>
      </c>
      <c r="H56" s="199">
        <f t="shared" si="10"/>
        <v>0</v>
      </c>
      <c r="I56" s="199">
        <f t="shared" si="10"/>
        <v>0.218</v>
      </c>
      <c r="J56" s="199">
        <f t="shared" si="10"/>
        <v>7.4999999999999997E-2</v>
      </c>
      <c r="K56" s="199">
        <f t="shared" si="10"/>
        <v>4.7E-2</v>
      </c>
      <c r="L56" s="199">
        <f t="shared" si="10"/>
        <v>0</v>
      </c>
      <c r="M56" s="199">
        <f t="shared" si="5"/>
        <v>0.35899999999999999</v>
      </c>
      <c r="N56" s="205">
        <f t="shared" si="7"/>
        <v>1</v>
      </c>
      <c r="Q56" s="203">
        <f t="shared" si="6"/>
        <v>1994</v>
      </c>
      <c r="R56" s="75">
        <v>100</v>
      </c>
      <c r="S56" s="75">
        <v>0</v>
      </c>
      <c r="T56" s="206">
        <f t="shared" si="8"/>
        <v>0</v>
      </c>
      <c r="U56" s="207">
        <v>1</v>
      </c>
      <c r="V56" s="43">
        <f t="shared" si="1"/>
        <v>0</v>
      </c>
    </row>
    <row r="57" spans="2:22" x14ac:dyDescent="0.25">
      <c r="B57" s="203">
        <f t="shared" si="2"/>
        <v>1995</v>
      </c>
      <c r="C57" s="75">
        <v>10</v>
      </c>
      <c r="D57" s="196">
        <v>256.10000000000002</v>
      </c>
      <c r="E57" s="204">
        <f t="shared" si="4"/>
        <v>2561</v>
      </c>
      <c r="F57" s="198">
        <f t="shared" si="10"/>
        <v>0.9</v>
      </c>
      <c r="G57" s="199">
        <f t="shared" si="10"/>
        <v>0.30099999999999999</v>
      </c>
      <c r="H57" s="199">
        <f t="shared" si="10"/>
        <v>0</v>
      </c>
      <c r="I57" s="199">
        <f t="shared" si="10"/>
        <v>0.218</v>
      </c>
      <c r="J57" s="199">
        <f t="shared" si="10"/>
        <v>7.4999999999999997E-2</v>
      </c>
      <c r="K57" s="199">
        <f t="shared" si="10"/>
        <v>4.7E-2</v>
      </c>
      <c r="L57" s="199">
        <f t="shared" si="10"/>
        <v>0</v>
      </c>
      <c r="M57" s="199">
        <f t="shared" si="5"/>
        <v>0.35899999999999999</v>
      </c>
      <c r="N57" s="205">
        <f t="shared" si="7"/>
        <v>1</v>
      </c>
      <c r="Q57" s="203">
        <f t="shared" si="6"/>
        <v>1995</v>
      </c>
      <c r="R57" s="75">
        <v>100</v>
      </c>
      <c r="S57" s="75">
        <v>0</v>
      </c>
      <c r="T57" s="206">
        <f t="shared" si="8"/>
        <v>0</v>
      </c>
      <c r="U57" s="207">
        <v>1</v>
      </c>
      <c r="V57" s="43">
        <f t="shared" si="1"/>
        <v>0</v>
      </c>
    </row>
    <row r="58" spans="2:22" x14ac:dyDescent="0.25">
      <c r="B58" s="203">
        <f t="shared" si="2"/>
        <v>1996</v>
      </c>
      <c r="C58" s="75">
        <v>10</v>
      </c>
      <c r="D58" s="196">
        <v>262.10000000000002</v>
      </c>
      <c r="E58" s="204">
        <f t="shared" si="4"/>
        <v>2621</v>
      </c>
      <c r="F58" s="198">
        <f t="shared" si="10"/>
        <v>0.9</v>
      </c>
      <c r="G58" s="199">
        <v>0.28999999999999998</v>
      </c>
      <c r="H58" s="199">
        <f t="shared" si="10"/>
        <v>0</v>
      </c>
      <c r="I58" s="199">
        <f t="shared" si="10"/>
        <v>0.218</v>
      </c>
      <c r="J58" s="199">
        <f t="shared" si="10"/>
        <v>7.4999999999999997E-2</v>
      </c>
      <c r="K58" s="199">
        <f t="shared" si="10"/>
        <v>4.7E-2</v>
      </c>
      <c r="L58" s="199">
        <f t="shared" si="10"/>
        <v>0</v>
      </c>
      <c r="M58" s="199">
        <f t="shared" si="5"/>
        <v>0.37</v>
      </c>
      <c r="N58" s="205">
        <f t="shared" si="7"/>
        <v>1</v>
      </c>
      <c r="Q58" s="203">
        <f t="shared" si="6"/>
        <v>1996</v>
      </c>
      <c r="R58" s="75">
        <v>100</v>
      </c>
      <c r="S58" s="75">
        <v>0</v>
      </c>
      <c r="T58" s="206">
        <f t="shared" si="8"/>
        <v>0</v>
      </c>
      <c r="U58" s="207">
        <v>1</v>
      </c>
      <c r="V58" s="43">
        <f t="shared" si="1"/>
        <v>0</v>
      </c>
    </row>
    <row r="59" spans="2:22" x14ac:dyDescent="0.25">
      <c r="B59" s="203">
        <f t="shared" si="2"/>
        <v>1997</v>
      </c>
      <c r="C59" s="75">
        <v>10</v>
      </c>
      <c r="D59" s="196">
        <v>268.3</v>
      </c>
      <c r="E59" s="204">
        <f t="shared" si="4"/>
        <v>2683</v>
      </c>
      <c r="F59" s="198">
        <f t="shared" si="10"/>
        <v>0.9</v>
      </c>
      <c r="G59" s="199">
        <v>0.28000000000000003</v>
      </c>
      <c r="H59" s="199">
        <f t="shared" si="10"/>
        <v>0</v>
      </c>
      <c r="I59" s="199">
        <v>0.23</v>
      </c>
      <c r="J59" s="199">
        <f t="shared" si="10"/>
        <v>7.4999999999999997E-2</v>
      </c>
      <c r="K59" s="199">
        <v>0.06</v>
      </c>
      <c r="L59" s="199">
        <f t="shared" si="10"/>
        <v>0</v>
      </c>
      <c r="M59" s="199">
        <f t="shared" si="5"/>
        <v>0.35499999999999998</v>
      </c>
      <c r="N59" s="205">
        <f t="shared" si="7"/>
        <v>1</v>
      </c>
      <c r="Q59" s="203">
        <f t="shared" si="6"/>
        <v>1997</v>
      </c>
      <c r="R59" s="75">
        <v>100</v>
      </c>
      <c r="S59" s="75">
        <v>0</v>
      </c>
      <c r="T59" s="206">
        <f t="shared" si="8"/>
        <v>0</v>
      </c>
      <c r="U59" s="207">
        <v>1</v>
      </c>
      <c r="V59" s="43">
        <f t="shared" si="1"/>
        <v>0</v>
      </c>
    </row>
    <row r="60" spans="2:22" x14ac:dyDescent="0.25">
      <c r="B60" s="203">
        <f t="shared" si="2"/>
        <v>1998</v>
      </c>
      <c r="C60" s="75">
        <v>10</v>
      </c>
      <c r="D60" s="196">
        <v>273.89999999999998</v>
      </c>
      <c r="E60" s="204">
        <f t="shared" si="4"/>
        <v>2739</v>
      </c>
      <c r="F60" s="198">
        <f t="shared" ref="F60:L85" si="11">F$8</f>
        <v>0.9</v>
      </c>
      <c r="G60" s="199">
        <v>0.27</v>
      </c>
      <c r="H60" s="199">
        <f t="shared" si="11"/>
        <v>0</v>
      </c>
      <c r="I60" s="199">
        <v>0.24</v>
      </c>
      <c r="J60" s="199">
        <f t="shared" si="11"/>
        <v>7.4999999999999997E-2</v>
      </c>
      <c r="K60" s="199">
        <v>0.06</v>
      </c>
      <c r="L60" s="199">
        <f t="shared" si="11"/>
        <v>0</v>
      </c>
      <c r="M60" s="199">
        <f t="shared" si="5"/>
        <v>0.35499999999999998</v>
      </c>
      <c r="N60" s="205">
        <f t="shared" si="7"/>
        <v>1</v>
      </c>
      <c r="Q60" s="203">
        <f t="shared" si="6"/>
        <v>1998</v>
      </c>
      <c r="R60" s="75">
        <v>100</v>
      </c>
      <c r="S60" s="75">
        <v>0</v>
      </c>
      <c r="T60" s="206">
        <f t="shared" si="8"/>
        <v>0</v>
      </c>
      <c r="U60" s="207">
        <v>1</v>
      </c>
      <c r="V60" s="43">
        <f t="shared" si="1"/>
        <v>0</v>
      </c>
    </row>
    <row r="61" spans="2:22" x14ac:dyDescent="0.25">
      <c r="B61" s="203">
        <f t="shared" si="2"/>
        <v>1999</v>
      </c>
      <c r="C61" s="75">
        <v>10</v>
      </c>
      <c r="D61" s="196">
        <v>280.39999999999998</v>
      </c>
      <c r="E61" s="204">
        <f t="shared" si="4"/>
        <v>2804</v>
      </c>
      <c r="F61" s="198">
        <f t="shared" si="11"/>
        <v>0.9</v>
      </c>
      <c r="G61" s="199">
        <v>0.26</v>
      </c>
      <c r="H61" s="199">
        <f t="shared" si="11"/>
        <v>0</v>
      </c>
      <c r="I61" s="199">
        <v>0.25</v>
      </c>
      <c r="J61" s="199">
        <f t="shared" si="11"/>
        <v>7.4999999999999997E-2</v>
      </c>
      <c r="K61" s="199">
        <v>7.0000000000000007E-2</v>
      </c>
      <c r="L61" s="199">
        <f t="shared" si="11"/>
        <v>0</v>
      </c>
      <c r="M61" s="199">
        <f t="shared" si="5"/>
        <v>0.34499999999999997</v>
      </c>
      <c r="N61" s="205">
        <f t="shared" si="7"/>
        <v>1</v>
      </c>
      <c r="Q61" s="203">
        <f t="shared" si="6"/>
        <v>1999</v>
      </c>
      <c r="R61" s="75">
        <v>100</v>
      </c>
      <c r="S61" s="75">
        <v>0</v>
      </c>
      <c r="T61" s="206">
        <f t="shared" si="8"/>
        <v>0</v>
      </c>
      <c r="U61" s="207">
        <v>1</v>
      </c>
      <c r="V61" s="43">
        <f t="shared" si="1"/>
        <v>0</v>
      </c>
    </row>
    <row r="62" spans="2:22" x14ac:dyDescent="0.25">
      <c r="B62" s="203">
        <f t="shared" si="2"/>
        <v>2000</v>
      </c>
      <c r="C62" s="75">
        <v>10</v>
      </c>
      <c r="D62" s="196">
        <v>263.2</v>
      </c>
      <c r="E62" s="204">
        <f t="shared" si="4"/>
        <v>2632</v>
      </c>
      <c r="F62" s="198">
        <f t="shared" si="11"/>
        <v>0.9</v>
      </c>
      <c r="G62" s="199">
        <v>0.25</v>
      </c>
      <c r="H62" s="199">
        <f t="shared" si="11"/>
        <v>0</v>
      </c>
      <c r="I62" s="199">
        <v>0.26</v>
      </c>
      <c r="J62" s="199">
        <f t="shared" si="11"/>
        <v>7.4999999999999997E-2</v>
      </c>
      <c r="K62" s="199">
        <v>7.0000000000000007E-2</v>
      </c>
      <c r="L62" s="199">
        <f t="shared" si="11"/>
        <v>0</v>
      </c>
      <c r="M62" s="199">
        <f t="shared" si="5"/>
        <v>0.34499999999999997</v>
      </c>
      <c r="N62" s="205">
        <f t="shared" si="7"/>
        <v>1</v>
      </c>
      <c r="Q62" s="203">
        <f t="shared" si="6"/>
        <v>2000</v>
      </c>
      <c r="R62" s="75">
        <v>100</v>
      </c>
      <c r="S62" s="75">
        <v>0</v>
      </c>
      <c r="T62" s="206">
        <f t="shared" si="8"/>
        <v>0</v>
      </c>
      <c r="U62" s="207">
        <v>1</v>
      </c>
      <c r="V62" s="43">
        <f t="shared" si="1"/>
        <v>0</v>
      </c>
    </row>
    <row r="63" spans="2:22" x14ac:dyDescent="0.25">
      <c r="B63" s="203">
        <f t="shared" si="2"/>
        <v>2001</v>
      </c>
      <c r="C63" s="75">
        <v>10</v>
      </c>
      <c r="D63" s="196">
        <v>280.3</v>
      </c>
      <c r="E63" s="204">
        <f t="shared" si="4"/>
        <v>2803</v>
      </c>
      <c r="F63" s="198">
        <f t="shared" si="11"/>
        <v>0.9</v>
      </c>
      <c r="G63" s="199">
        <v>0.23</v>
      </c>
      <c r="H63" s="199">
        <f t="shared" si="11"/>
        <v>0</v>
      </c>
      <c r="I63" s="199">
        <v>0.27</v>
      </c>
      <c r="J63" s="199">
        <f t="shared" si="11"/>
        <v>7.4999999999999997E-2</v>
      </c>
      <c r="K63" s="199">
        <v>0.08</v>
      </c>
      <c r="L63" s="199">
        <f t="shared" si="11"/>
        <v>0</v>
      </c>
      <c r="M63" s="199">
        <f t="shared" si="5"/>
        <v>0.34500000000000008</v>
      </c>
      <c r="N63" s="205">
        <f t="shared" si="7"/>
        <v>1</v>
      </c>
      <c r="Q63" s="203">
        <f t="shared" si="6"/>
        <v>2001</v>
      </c>
      <c r="R63" s="75">
        <v>100</v>
      </c>
      <c r="S63" s="75">
        <v>0</v>
      </c>
      <c r="T63" s="206">
        <f t="shared" si="8"/>
        <v>0</v>
      </c>
      <c r="U63" s="207">
        <v>1</v>
      </c>
      <c r="V63" s="43">
        <f t="shared" si="1"/>
        <v>0</v>
      </c>
    </row>
    <row r="64" spans="2:22" x14ac:dyDescent="0.25">
      <c r="B64" s="203">
        <f t="shared" si="2"/>
        <v>2002</v>
      </c>
      <c r="C64" s="75">
        <v>10</v>
      </c>
      <c r="D64" s="196">
        <v>282.60000000000002</v>
      </c>
      <c r="E64" s="204">
        <f t="shared" si="4"/>
        <v>2826</v>
      </c>
      <c r="F64" s="198">
        <f t="shared" si="11"/>
        <v>0.9</v>
      </c>
      <c r="G64" s="199">
        <v>0.25</v>
      </c>
      <c r="H64" s="199">
        <f t="shared" si="11"/>
        <v>0</v>
      </c>
      <c r="I64" s="199">
        <v>0.24</v>
      </c>
      <c r="J64" s="199">
        <v>0.09</v>
      </c>
      <c r="K64" s="199">
        <v>0.08</v>
      </c>
      <c r="L64" s="199">
        <f t="shared" si="11"/>
        <v>0</v>
      </c>
      <c r="M64" s="199">
        <f t="shared" si="5"/>
        <v>0.34000000000000008</v>
      </c>
      <c r="N64" s="205">
        <f t="shared" si="7"/>
        <v>1</v>
      </c>
      <c r="Q64" s="203">
        <f t="shared" si="6"/>
        <v>2002</v>
      </c>
      <c r="R64" s="75">
        <v>100</v>
      </c>
      <c r="S64" s="75">
        <v>0</v>
      </c>
      <c r="T64" s="206">
        <f t="shared" si="8"/>
        <v>0</v>
      </c>
      <c r="U64" s="207">
        <v>1</v>
      </c>
      <c r="V64" s="43">
        <f t="shared" si="1"/>
        <v>0</v>
      </c>
    </row>
    <row r="65" spans="2:22" x14ac:dyDescent="0.25">
      <c r="B65" s="203">
        <f t="shared" si="2"/>
        <v>2003</v>
      </c>
      <c r="C65" s="75">
        <v>10</v>
      </c>
      <c r="D65" s="196">
        <v>292</v>
      </c>
      <c r="E65" s="204">
        <f t="shared" si="4"/>
        <v>2920</v>
      </c>
      <c r="F65" s="198">
        <f t="shared" si="11"/>
        <v>0.9</v>
      </c>
      <c r="G65" s="199">
        <v>0.27</v>
      </c>
      <c r="H65" s="199">
        <f t="shared" si="11"/>
        <v>0</v>
      </c>
      <c r="I65" s="199">
        <v>0.22</v>
      </c>
      <c r="J65" s="199">
        <v>0.11</v>
      </c>
      <c r="K65" s="199">
        <v>7.0000000000000007E-2</v>
      </c>
      <c r="L65" s="199">
        <f t="shared" si="11"/>
        <v>0</v>
      </c>
      <c r="M65" s="199">
        <f t="shared" si="5"/>
        <v>0.33000000000000007</v>
      </c>
      <c r="N65" s="205">
        <f t="shared" si="7"/>
        <v>1</v>
      </c>
      <c r="Q65" s="203">
        <f t="shared" si="6"/>
        <v>2003</v>
      </c>
      <c r="R65" s="75">
        <v>100</v>
      </c>
      <c r="S65" s="75">
        <v>0</v>
      </c>
      <c r="T65" s="206">
        <f t="shared" si="8"/>
        <v>0</v>
      </c>
      <c r="U65" s="207">
        <v>1</v>
      </c>
      <c r="V65" s="43">
        <f t="shared" si="1"/>
        <v>0</v>
      </c>
    </row>
    <row r="66" spans="2:22" x14ac:dyDescent="0.25">
      <c r="B66" s="203">
        <f t="shared" si="2"/>
        <v>2004</v>
      </c>
      <c r="C66" s="75">
        <v>10</v>
      </c>
      <c r="D66" s="196">
        <v>295.2</v>
      </c>
      <c r="E66" s="204">
        <f t="shared" si="4"/>
        <v>2952</v>
      </c>
      <c r="F66" s="198">
        <f t="shared" si="11"/>
        <v>0.9</v>
      </c>
      <c r="G66" s="199">
        <v>0.3</v>
      </c>
      <c r="H66" s="199">
        <f t="shared" si="11"/>
        <v>0</v>
      </c>
      <c r="I66" s="199">
        <v>0.19</v>
      </c>
      <c r="J66" s="199">
        <v>0.13</v>
      </c>
      <c r="K66" s="199">
        <v>7.0000000000000007E-2</v>
      </c>
      <c r="L66" s="199">
        <f t="shared" si="11"/>
        <v>0</v>
      </c>
      <c r="M66" s="199">
        <f t="shared" si="5"/>
        <v>0.31000000000000005</v>
      </c>
      <c r="N66" s="205">
        <f t="shared" si="7"/>
        <v>1</v>
      </c>
      <c r="Q66" s="203">
        <f t="shared" si="6"/>
        <v>2004</v>
      </c>
      <c r="R66" s="75">
        <v>100</v>
      </c>
      <c r="S66" s="75">
        <v>0</v>
      </c>
      <c r="T66" s="206">
        <f t="shared" si="8"/>
        <v>0</v>
      </c>
      <c r="U66" s="207">
        <v>1</v>
      </c>
      <c r="V66" s="43">
        <f t="shared" si="1"/>
        <v>0</v>
      </c>
    </row>
    <row r="67" spans="2:22" x14ac:dyDescent="0.25">
      <c r="B67" s="203">
        <f t="shared" si="2"/>
        <v>2005</v>
      </c>
      <c r="C67" s="75">
        <v>10</v>
      </c>
      <c r="D67" s="196">
        <v>300</v>
      </c>
      <c r="E67" s="204">
        <f t="shared" si="4"/>
        <v>3000</v>
      </c>
      <c r="F67" s="198">
        <f t="shared" si="11"/>
        <v>0.9</v>
      </c>
      <c r="G67" s="199">
        <v>0.32</v>
      </c>
      <c r="H67" s="199">
        <f t="shared" si="11"/>
        <v>0</v>
      </c>
      <c r="I67" s="199">
        <v>0.16</v>
      </c>
      <c r="J67" s="199">
        <v>0.14000000000000001</v>
      </c>
      <c r="K67" s="199">
        <v>7.0000000000000007E-2</v>
      </c>
      <c r="L67" s="199">
        <f t="shared" si="11"/>
        <v>0</v>
      </c>
      <c r="M67" s="199">
        <f t="shared" si="5"/>
        <v>0.31000000000000005</v>
      </c>
      <c r="N67" s="205">
        <f t="shared" si="7"/>
        <v>1</v>
      </c>
      <c r="Q67" s="203">
        <f t="shared" si="6"/>
        <v>2005</v>
      </c>
      <c r="R67" s="75">
        <v>100</v>
      </c>
      <c r="S67" s="75">
        <v>0</v>
      </c>
      <c r="T67" s="206">
        <f t="shared" si="8"/>
        <v>0</v>
      </c>
      <c r="U67" s="207">
        <v>1</v>
      </c>
      <c r="V67" s="43">
        <f t="shared" si="1"/>
        <v>0</v>
      </c>
    </row>
    <row r="68" spans="2:22" x14ac:dyDescent="0.25">
      <c r="B68" s="203">
        <f t="shared" si="2"/>
        <v>2006</v>
      </c>
      <c r="C68" s="75">
        <v>10</v>
      </c>
      <c r="D68" s="196">
        <v>307</v>
      </c>
      <c r="E68" s="204">
        <f t="shared" si="4"/>
        <v>3070</v>
      </c>
      <c r="F68" s="198">
        <f t="shared" si="11"/>
        <v>0.9</v>
      </c>
      <c r="G68" s="199">
        <v>0.32</v>
      </c>
      <c r="H68" s="199">
        <f t="shared" si="11"/>
        <v>0</v>
      </c>
      <c r="I68" s="199">
        <v>0.16</v>
      </c>
      <c r="J68" s="199">
        <v>0.14000000000000001</v>
      </c>
      <c r="K68" s="199">
        <v>7.0000000000000007E-2</v>
      </c>
      <c r="L68" s="199">
        <f t="shared" si="11"/>
        <v>0</v>
      </c>
      <c r="M68" s="199">
        <f t="shared" si="5"/>
        <v>0.31000000000000005</v>
      </c>
      <c r="N68" s="205">
        <f t="shared" si="7"/>
        <v>1</v>
      </c>
      <c r="Q68" s="203">
        <f t="shared" si="6"/>
        <v>2006</v>
      </c>
      <c r="R68" s="75">
        <v>100</v>
      </c>
      <c r="S68" s="75">
        <v>0</v>
      </c>
      <c r="T68" s="206">
        <f t="shared" si="8"/>
        <v>0</v>
      </c>
      <c r="U68" s="207">
        <v>1</v>
      </c>
      <c r="V68" s="43">
        <f t="shared" si="1"/>
        <v>0</v>
      </c>
    </row>
    <row r="69" spans="2:22" x14ac:dyDescent="0.25">
      <c r="B69" s="203">
        <f t="shared" si="2"/>
        <v>2007</v>
      </c>
      <c r="C69" s="75">
        <v>10</v>
      </c>
      <c r="D69" s="196">
        <v>322.10000000000002</v>
      </c>
      <c r="E69" s="204">
        <f t="shared" si="4"/>
        <v>3221</v>
      </c>
      <c r="F69" s="198">
        <f t="shared" si="11"/>
        <v>0.9</v>
      </c>
      <c r="G69" s="199">
        <v>0.32</v>
      </c>
      <c r="H69" s="199">
        <f t="shared" si="11"/>
        <v>0</v>
      </c>
      <c r="I69" s="199">
        <v>0.17</v>
      </c>
      <c r="J69" s="199">
        <v>0.13</v>
      </c>
      <c r="K69" s="199">
        <v>0.08</v>
      </c>
      <c r="L69" s="199">
        <f t="shared" si="11"/>
        <v>0</v>
      </c>
      <c r="M69" s="199">
        <f t="shared" si="5"/>
        <v>0.30000000000000004</v>
      </c>
      <c r="N69" s="205">
        <f t="shared" si="7"/>
        <v>1</v>
      </c>
      <c r="Q69" s="203">
        <f t="shared" si="6"/>
        <v>2007</v>
      </c>
      <c r="R69" s="75">
        <v>100</v>
      </c>
      <c r="S69" s="75">
        <v>0</v>
      </c>
      <c r="T69" s="206">
        <f t="shared" si="8"/>
        <v>0</v>
      </c>
      <c r="U69" s="207">
        <v>1</v>
      </c>
      <c r="V69" s="43">
        <f t="shared" si="1"/>
        <v>0</v>
      </c>
    </row>
    <row r="70" spans="2:22" x14ac:dyDescent="0.25">
      <c r="B70" s="203">
        <f t="shared" si="2"/>
        <v>2008</v>
      </c>
      <c r="C70" s="75">
        <v>10</v>
      </c>
      <c r="D70" s="196">
        <v>331.4</v>
      </c>
      <c r="E70" s="204">
        <f t="shared" si="4"/>
        <v>3314</v>
      </c>
      <c r="F70" s="198">
        <f t="shared" si="11"/>
        <v>0.9</v>
      </c>
      <c r="G70" s="199">
        <v>0.32</v>
      </c>
      <c r="H70" s="199">
        <f t="shared" si="11"/>
        <v>0</v>
      </c>
      <c r="I70" s="199">
        <v>0.16</v>
      </c>
      <c r="J70" s="199">
        <v>0.14000000000000001</v>
      </c>
      <c r="K70" s="199">
        <v>7.0000000000000007E-2</v>
      </c>
      <c r="L70" s="199">
        <f t="shared" si="11"/>
        <v>0</v>
      </c>
      <c r="M70" s="199">
        <f t="shared" si="5"/>
        <v>0.31000000000000005</v>
      </c>
      <c r="N70" s="205">
        <f t="shared" si="7"/>
        <v>1</v>
      </c>
      <c r="Q70" s="203">
        <f t="shared" si="6"/>
        <v>2008</v>
      </c>
      <c r="R70" s="75">
        <v>100</v>
      </c>
      <c r="S70" s="75">
        <v>0</v>
      </c>
      <c r="T70" s="206">
        <f t="shared" si="8"/>
        <v>0</v>
      </c>
      <c r="U70" s="207">
        <v>1</v>
      </c>
      <c r="V70" s="43">
        <f t="shared" si="1"/>
        <v>0</v>
      </c>
    </row>
    <row r="71" spans="2:22" x14ac:dyDescent="0.25">
      <c r="B71" s="203">
        <f t="shared" si="2"/>
        <v>2009</v>
      </c>
      <c r="C71" s="75">
        <v>10</v>
      </c>
      <c r="D71" s="196">
        <v>342.4</v>
      </c>
      <c r="E71" s="204">
        <f t="shared" si="4"/>
        <v>3424</v>
      </c>
      <c r="F71" s="198">
        <f t="shared" si="11"/>
        <v>0.9</v>
      </c>
      <c r="G71" s="199">
        <v>0.35</v>
      </c>
      <c r="H71" s="199">
        <f t="shared" si="11"/>
        <v>0</v>
      </c>
      <c r="I71" s="199">
        <v>0.16</v>
      </c>
      <c r="J71" s="199">
        <v>0.13</v>
      </c>
      <c r="K71" s="199">
        <v>0.08</v>
      </c>
      <c r="L71" s="199">
        <f t="shared" si="11"/>
        <v>0</v>
      </c>
      <c r="M71" s="199">
        <f t="shared" si="5"/>
        <v>0.28000000000000003</v>
      </c>
      <c r="N71" s="205">
        <f t="shared" si="7"/>
        <v>1</v>
      </c>
      <c r="Q71" s="203">
        <f t="shared" si="6"/>
        <v>2009</v>
      </c>
      <c r="R71" s="75">
        <v>100</v>
      </c>
      <c r="S71" s="75">
        <v>0</v>
      </c>
      <c r="T71" s="206">
        <f t="shared" si="8"/>
        <v>0</v>
      </c>
      <c r="U71" s="207">
        <v>1</v>
      </c>
      <c r="V71" s="43">
        <f t="shared" si="1"/>
        <v>0</v>
      </c>
    </row>
    <row r="72" spans="2:22" x14ac:dyDescent="0.25">
      <c r="B72" s="203">
        <f t="shared" si="2"/>
        <v>2010</v>
      </c>
      <c r="C72" s="75">
        <v>10</v>
      </c>
      <c r="D72" s="196">
        <v>340.6</v>
      </c>
      <c r="E72" s="204">
        <f t="shared" si="4"/>
        <v>3406</v>
      </c>
      <c r="F72" s="198">
        <f t="shared" si="11"/>
        <v>0.9</v>
      </c>
      <c r="G72" s="199">
        <v>0.35</v>
      </c>
      <c r="H72" s="199">
        <f t="shared" si="11"/>
        <v>0</v>
      </c>
      <c r="I72" s="199">
        <v>0.16</v>
      </c>
      <c r="J72" s="199">
        <v>0.13</v>
      </c>
      <c r="K72" s="199">
        <v>0.08</v>
      </c>
      <c r="L72" s="199">
        <f t="shared" si="11"/>
        <v>0</v>
      </c>
      <c r="M72" s="199">
        <f t="shared" si="5"/>
        <v>0.28000000000000003</v>
      </c>
      <c r="N72" s="205">
        <f t="shared" si="7"/>
        <v>1</v>
      </c>
      <c r="Q72" s="203">
        <f t="shared" si="6"/>
        <v>2010</v>
      </c>
      <c r="R72" s="75">
        <v>100</v>
      </c>
      <c r="S72" s="75">
        <v>0</v>
      </c>
      <c r="T72" s="206">
        <f t="shared" si="8"/>
        <v>0</v>
      </c>
      <c r="U72" s="207">
        <v>1</v>
      </c>
      <c r="V72" s="43">
        <f t="shared" si="1"/>
        <v>0</v>
      </c>
    </row>
    <row r="73" spans="2:22" x14ac:dyDescent="0.25">
      <c r="B73" s="203">
        <f t="shared" si="2"/>
        <v>2011</v>
      </c>
      <c r="C73" s="75">
        <v>10</v>
      </c>
      <c r="D73" s="196">
        <v>318.5</v>
      </c>
      <c r="E73" s="204">
        <f t="shared" si="4"/>
        <v>3185</v>
      </c>
      <c r="F73" s="198">
        <f t="shared" si="11"/>
        <v>0.9</v>
      </c>
      <c r="G73" s="199">
        <v>0.35</v>
      </c>
      <c r="H73" s="199">
        <f t="shared" si="11"/>
        <v>0</v>
      </c>
      <c r="I73" s="199">
        <v>0.16</v>
      </c>
      <c r="J73" s="199">
        <v>0.13</v>
      </c>
      <c r="K73" s="199">
        <v>0.08</v>
      </c>
      <c r="L73" s="199">
        <f t="shared" si="11"/>
        <v>0</v>
      </c>
      <c r="M73" s="199">
        <f t="shared" si="5"/>
        <v>0.28000000000000003</v>
      </c>
      <c r="N73" s="205">
        <f t="shared" si="7"/>
        <v>1</v>
      </c>
      <c r="Q73" s="203">
        <f t="shared" si="6"/>
        <v>2011</v>
      </c>
      <c r="R73" s="75">
        <v>100</v>
      </c>
      <c r="S73" s="75">
        <v>0</v>
      </c>
      <c r="T73" s="206">
        <f t="shared" si="8"/>
        <v>0</v>
      </c>
      <c r="U73" s="207">
        <v>1</v>
      </c>
      <c r="V73" s="43">
        <f t="shared" si="1"/>
        <v>0</v>
      </c>
    </row>
    <row r="74" spans="2:22" x14ac:dyDescent="0.25">
      <c r="B74" s="203">
        <f t="shared" si="2"/>
        <v>2012</v>
      </c>
      <c r="C74" s="75">
        <v>10</v>
      </c>
      <c r="D74" s="196">
        <v>298.10000000000002</v>
      </c>
      <c r="E74" s="204">
        <f t="shared" si="4"/>
        <v>2981</v>
      </c>
      <c r="F74" s="198">
        <f t="shared" si="11"/>
        <v>0.9</v>
      </c>
      <c r="G74" s="199">
        <v>0.35</v>
      </c>
      <c r="H74" s="199">
        <f t="shared" si="11"/>
        <v>0</v>
      </c>
      <c r="I74" s="199">
        <v>0.16</v>
      </c>
      <c r="J74" s="199">
        <v>0.13</v>
      </c>
      <c r="K74" s="199">
        <v>0.08</v>
      </c>
      <c r="L74" s="199">
        <f t="shared" si="11"/>
        <v>0</v>
      </c>
      <c r="M74" s="199">
        <f t="shared" si="5"/>
        <v>0.28000000000000003</v>
      </c>
      <c r="N74" s="205">
        <f t="shared" si="7"/>
        <v>1</v>
      </c>
      <c r="Q74" s="203">
        <f t="shared" si="6"/>
        <v>2012</v>
      </c>
      <c r="R74" s="75">
        <v>100</v>
      </c>
      <c r="S74" s="75">
        <v>0</v>
      </c>
      <c r="T74" s="206">
        <f t="shared" si="8"/>
        <v>0</v>
      </c>
      <c r="U74" s="207">
        <v>1</v>
      </c>
      <c r="V74" s="43">
        <f t="shared" si="1"/>
        <v>0</v>
      </c>
    </row>
    <row r="75" spans="2:22" x14ac:dyDescent="0.25">
      <c r="B75" s="203">
        <f t="shared" si="2"/>
        <v>2013</v>
      </c>
      <c r="C75" s="75">
        <v>10</v>
      </c>
      <c r="D75" s="196">
        <v>278.60000000000002</v>
      </c>
      <c r="E75" s="204">
        <f t="shared" si="4"/>
        <v>2786</v>
      </c>
      <c r="F75" s="198">
        <f t="shared" si="11"/>
        <v>0.9</v>
      </c>
      <c r="G75" s="199">
        <v>0.35</v>
      </c>
      <c r="H75" s="199">
        <f t="shared" si="11"/>
        <v>0</v>
      </c>
      <c r="I75" s="199">
        <v>0.16</v>
      </c>
      <c r="J75" s="199">
        <v>0.13</v>
      </c>
      <c r="K75" s="199">
        <v>0.08</v>
      </c>
      <c r="L75" s="199">
        <f t="shared" si="11"/>
        <v>0</v>
      </c>
      <c r="M75" s="199">
        <f t="shared" si="5"/>
        <v>0.28000000000000003</v>
      </c>
      <c r="N75" s="205">
        <f t="shared" si="7"/>
        <v>1</v>
      </c>
      <c r="Q75" s="203">
        <f t="shared" si="6"/>
        <v>2013</v>
      </c>
      <c r="R75" s="75">
        <v>100</v>
      </c>
      <c r="S75" s="75">
        <v>0</v>
      </c>
      <c r="T75" s="206">
        <f t="shared" si="8"/>
        <v>0</v>
      </c>
      <c r="U75" s="207">
        <v>1</v>
      </c>
      <c r="V75" s="43">
        <f t="shared" si="1"/>
        <v>0</v>
      </c>
    </row>
    <row r="76" spans="2:22" x14ac:dyDescent="0.25">
      <c r="B76" s="203">
        <f t="shared" si="2"/>
        <v>2014</v>
      </c>
      <c r="C76" s="75">
        <v>10</v>
      </c>
      <c r="D76" s="196">
        <v>269.2</v>
      </c>
      <c r="E76" s="204">
        <f t="shared" si="4"/>
        <v>2692</v>
      </c>
      <c r="F76" s="198">
        <f t="shared" si="11"/>
        <v>0.9</v>
      </c>
      <c r="G76" s="199">
        <v>0.35</v>
      </c>
      <c r="H76" s="199">
        <f t="shared" si="11"/>
        <v>0</v>
      </c>
      <c r="I76" s="199">
        <v>0.16</v>
      </c>
      <c r="J76" s="199">
        <v>0.13</v>
      </c>
      <c r="K76" s="199">
        <v>0.08</v>
      </c>
      <c r="L76" s="199">
        <f t="shared" si="11"/>
        <v>0</v>
      </c>
      <c r="M76" s="199">
        <f t="shared" si="5"/>
        <v>0.28000000000000003</v>
      </c>
      <c r="N76" s="205">
        <f t="shared" si="7"/>
        <v>1</v>
      </c>
      <c r="Q76" s="203">
        <f t="shared" si="6"/>
        <v>2014</v>
      </c>
      <c r="R76" s="75">
        <v>100</v>
      </c>
      <c r="S76" s="75">
        <v>0</v>
      </c>
      <c r="T76" s="206">
        <f t="shared" si="8"/>
        <v>0</v>
      </c>
      <c r="U76" s="207">
        <v>1</v>
      </c>
      <c r="V76" s="43">
        <f t="shared" ref="V76:V102" si="12">T76*U76</f>
        <v>0</v>
      </c>
    </row>
    <row r="77" spans="2:22" x14ac:dyDescent="0.25">
      <c r="B77" s="203">
        <f t="shared" ref="B77:B102" si="13">B76+1</f>
        <v>2015</v>
      </c>
      <c r="C77" s="75">
        <v>10</v>
      </c>
      <c r="D77" s="196">
        <v>257</v>
      </c>
      <c r="E77" s="204">
        <f t="shared" ref="E77:E102" si="14">C77*D77</f>
        <v>2570</v>
      </c>
      <c r="F77" s="198">
        <f t="shared" si="11"/>
        <v>0.9</v>
      </c>
      <c r="G77" s="199">
        <v>0.35</v>
      </c>
      <c r="H77" s="199">
        <f t="shared" si="11"/>
        <v>0</v>
      </c>
      <c r="I77" s="199">
        <v>0.16</v>
      </c>
      <c r="J77" s="199">
        <v>0.13</v>
      </c>
      <c r="K77" s="199">
        <v>0.08</v>
      </c>
      <c r="L77" s="199">
        <f t="shared" si="11"/>
        <v>0</v>
      </c>
      <c r="M77" s="199">
        <f t="shared" ref="M77:M102" si="15">1-SUM(G77:L77)</f>
        <v>0.28000000000000003</v>
      </c>
      <c r="N77" s="205">
        <f t="shared" si="7"/>
        <v>1</v>
      </c>
      <c r="Q77" s="203">
        <f t="shared" ref="P77:Q102" si="16">Q76+1</f>
        <v>2015</v>
      </c>
      <c r="R77" s="75">
        <v>100</v>
      </c>
      <c r="S77" s="75">
        <v>0</v>
      </c>
      <c r="T77" s="206">
        <f t="shared" si="8"/>
        <v>0</v>
      </c>
      <c r="U77" s="207">
        <v>1</v>
      </c>
      <c r="V77" s="43">
        <f t="shared" si="12"/>
        <v>0</v>
      </c>
    </row>
    <row r="78" spans="2:22" x14ac:dyDescent="0.25">
      <c r="B78" s="203">
        <f t="shared" si="13"/>
        <v>2016</v>
      </c>
      <c r="C78" s="75">
        <v>10</v>
      </c>
      <c r="D78" s="196">
        <v>249.9</v>
      </c>
      <c r="E78" s="204">
        <f t="shared" si="14"/>
        <v>2499</v>
      </c>
      <c r="F78" s="198">
        <f t="shared" si="11"/>
        <v>0.9</v>
      </c>
      <c r="G78" s="199">
        <v>0.35</v>
      </c>
      <c r="H78" s="199">
        <f t="shared" si="11"/>
        <v>0</v>
      </c>
      <c r="I78" s="199">
        <v>0.16</v>
      </c>
      <c r="J78" s="199">
        <v>0.13</v>
      </c>
      <c r="K78" s="199">
        <v>0.08</v>
      </c>
      <c r="L78" s="199">
        <f t="shared" si="11"/>
        <v>0</v>
      </c>
      <c r="M78" s="199">
        <f t="shared" si="15"/>
        <v>0.28000000000000003</v>
      </c>
      <c r="N78" s="205">
        <f t="shared" ref="N78:N102" si="17">SUM(G78:M78)</f>
        <v>1</v>
      </c>
      <c r="Q78" s="203">
        <f t="shared" si="16"/>
        <v>2016</v>
      </c>
      <c r="R78" s="75">
        <v>100</v>
      </c>
      <c r="S78" s="75">
        <v>0</v>
      </c>
      <c r="T78" s="206">
        <f t="shared" ref="T78:T102" si="18">R78*S78</f>
        <v>0</v>
      </c>
      <c r="U78" s="207">
        <v>1</v>
      </c>
      <c r="V78" s="43">
        <f t="shared" si="12"/>
        <v>0</v>
      </c>
    </row>
    <row r="79" spans="2:22" x14ac:dyDescent="0.25">
      <c r="B79" s="203">
        <f t="shared" si="13"/>
        <v>2017</v>
      </c>
      <c r="C79" s="75">
        <v>10</v>
      </c>
      <c r="D79" s="196">
        <v>249.9</v>
      </c>
      <c r="E79" s="204">
        <f t="shared" ref="E79:E102" si="19">C79*D79</f>
        <v>2499</v>
      </c>
      <c r="F79" s="198">
        <f t="shared" si="11"/>
        <v>0.9</v>
      </c>
      <c r="G79" s="199">
        <v>0.35</v>
      </c>
      <c r="H79" s="199">
        <f t="shared" si="11"/>
        <v>0</v>
      </c>
      <c r="I79" s="199">
        <v>0.16</v>
      </c>
      <c r="J79" s="199">
        <v>0.13</v>
      </c>
      <c r="K79" s="199">
        <v>0.08</v>
      </c>
      <c r="L79" s="199">
        <f t="shared" si="11"/>
        <v>0</v>
      </c>
      <c r="M79" s="199">
        <f t="shared" ref="M79:M102" si="20">1-SUM(G79:L79)</f>
        <v>0.28000000000000003</v>
      </c>
      <c r="N79" s="205">
        <f t="shared" ref="N79:N102" si="21">SUM(G79:M79)</f>
        <v>1</v>
      </c>
      <c r="Q79" s="203">
        <f t="shared" ref="Q79:R79" si="22">Q78+1</f>
        <v>2017</v>
      </c>
      <c r="R79" s="75">
        <v>100</v>
      </c>
      <c r="S79" s="75">
        <v>0</v>
      </c>
      <c r="T79" s="206">
        <f t="shared" ref="T79:T102" si="23">R79*S79</f>
        <v>0</v>
      </c>
      <c r="U79" s="207">
        <v>1</v>
      </c>
      <c r="V79" s="43">
        <f t="shared" ref="V79:V102" si="24">T79*U79</f>
        <v>0</v>
      </c>
    </row>
    <row r="80" spans="2:22" x14ac:dyDescent="0.25">
      <c r="B80" s="203">
        <f t="shared" si="13"/>
        <v>2018</v>
      </c>
      <c r="C80" s="75">
        <v>10</v>
      </c>
      <c r="D80" s="196">
        <v>249.9</v>
      </c>
      <c r="E80" s="204">
        <f t="shared" si="19"/>
        <v>2499</v>
      </c>
      <c r="F80" s="198">
        <f t="shared" si="11"/>
        <v>0.9</v>
      </c>
      <c r="G80" s="199">
        <v>0.35</v>
      </c>
      <c r="H80" s="199">
        <f t="shared" si="11"/>
        <v>0</v>
      </c>
      <c r="I80" s="199">
        <v>0.16</v>
      </c>
      <c r="J80" s="199">
        <v>0.13</v>
      </c>
      <c r="K80" s="199">
        <v>0.08</v>
      </c>
      <c r="L80" s="199">
        <f t="shared" si="11"/>
        <v>0</v>
      </c>
      <c r="M80" s="199">
        <f t="shared" si="20"/>
        <v>0.28000000000000003</v>
      </c>
      <c r="N80" s="205">
        <f t="shared" si="21"/>
        <v>1</v>
      </c>
      <c r="Q80" s="203">
        <f t="shared" ref="Q80:R80" si="25">Q79+1</f>
        <v>2018</v>
      </c>
      <c r="R80" s="75">
        <v>100</v>
      </c>
      <c r="S80" s="75">
        <v>0</v>
      </c>
      <c r="T80" s="206">
        <f t="shared" si="23"/>
        <v>0</v>
      </c>
      <c r="U80" s="207">
        <v>1</v>
      </c>
      <c r="V80" s="43">
        <f t="shared" si="24"/>
        <v>0</v>
      </c>
    </row>
    <row r="81" spans="2:22" x14ac:dyDescent="0.25">
      <c r="B81" s="203">
        <f t="shared" si="13"/>
        <v>2019</v>
      </c>
      <c r="C81" s="75">
        <v>10</v>
      </c>
      <c r="D81" s="196">
        <v>249.9</v>
      </c>
      <c r="E81" s="204">
        <f t="shared" si="19"/>
        <v>2499</v>
      </c>
      <c r="F81" s="198">
        <f t="shared" si="11"/>
        <v>0.9</v>
      </c>
      <c r="G81" s="199">
        <v>0.35</v>
      </c>
      <c r="H81" s="199">
        <f t="shared" si="11"/>
        <v>0</v>
      </c>
      <c r="I81" s="199">
        <v>0.16</v>
      </c>
      <c r="J81" s="199">
        <v>0.13</v>
      </c>
      <c r="K81" s="199">
        <v>0.08</v>
      </c>
      <c r="L81" s="199">
        <f t="shared" si="11"/>
        <v>0</v>
      </c>
      <c r="M81" s="199">
        <f t="shared" si="20"/>
        <v>0.28000000000000003</v>
      </c>
      <c r="N81" s="205">
        <f t="shared" si="21"/>
        <v>1</v>
      </c>
      <c r="Q81" s="203">
        <f t="shared" ref="Q81:R81" si="26">Q80+1</f>
        <v>2019</v>
      </c>
      <c r="R81" s="75">
        <v>100</v>
      </c>
      <c r="S81" s="75">
        <v>0</v>
      </c>
      <c r="T81" s="206">
        <f t="shared" si="23"/>
        <v>0</v>
      </c>
      <c r="U81" s="207">
        <v>1</v>
      </c>
      <c r="V81" s="43">
        <f t="shared" si="24"/>
        <v>0</v>
      </c>
    </row>
    <row r="82" spans="2:22" x14ac:dyDescent="0.25">
      <c r="B82" s="203">
        <f t="shared" si="13"/>
        <v>2020</v>
      </c>
      <c r="C82" s="75">
        <v>10</v>
      </c>
      <c r="D82" s="196">
        <v>249.9</v>
      </c>
      <c r="E82" s="204">
        <f t="shared" si="19"/>
        <v>2499</v>
      </c>
      <c r="F82" s="198">
        <f t="shared" si="11"/>
        <v>0.9</v>
      </c>
      <c r="G82" s="199">
        <v>0.35</v>
      </c>
      <c r="H82" s="199">
        <f t="shared" si="11"/>
        <v>0</v>
      </c>
      <c r="I82" s="199">
        <v>0.16</v>
      </c>
      <c r="J82" s="199">
        <v>0.13</v>
      </c>
      <c r="K82" s="199">
        <v>0.08</v>
      </c>
      <c r="L82" s="199">
        <f t="shared" si="11"/>
        <v>0</v>
      </c>
      <c r="M82" s="199">
        <f t="shared" si="20"/>
        <v>0.28000000000000003</v>
      </c>
      <c r="N82" s="205">
        <f t="shared" si="21"/>
        <v>1</v>
      </c>
      <c r="Q82" s="203">
        <f t="shared" ref="Q82:R82" si="27">Q81+1</f>
        <v>2020</v>
      </c>
      <c r="R82" s="75">
        <v>100</v>
      </c>
      <c r="S82" s="75">
        <v>0</v>
      </c>
      <c r="T82" s="206">
        <f t="shared" si="23"/>
        <v>0</v>
      </c>
      <c r="U82" s="207">
        <v>1</v>
      </c>
      <c r="V82" s="43">
        <f t="shared" si="24"/>
        <v>0</v>
      </c>
    </row>
    <row r="83" spans="2:22" x14ac:dyDescent="0.25">
      <c r="B83" s="203">
        <f t="shared" si="13"/>
        <v>2021</v>
      </c>
      <c r="C83" s="75">
        <v>10</v>
      </c>
      <c r="D83" s="196">
        <v>249.9</v>
      </c>
      <c r="E83" s="204">
        <f t="shared" si="19"/>
        <v>2499</v>
      </c>
      <c r="F83" s="198">
        <f t="shared" si="11"/>
        <v>0.9</v>
      </c>
      <c r="G83" s="199">
        <v>0.35</v>
      </c>
      <c r="H83" s="199">
        <f t="shared" si="11"/>
        <v>0</v>
      </c>
      <c r="I83" s="199">
        <v>0.16</v>
      </c>
      <c r="J83" s="199">
        <v>0.13</v>
      </c>
      <c r="K83" s="199">
        <v>0.08</v>
      </c>
      <c r="L83" s="199">
        <f t="shared" si="11"/>
        <v>0</v>
      </c>
      <c r="M83" s="199">
        <f t="shared" si="20"/>
        <v>0.28000000000000003</v>
      </c>
      <c r="N83" s="205">
        <f t="shared" si="21"/>
        <v>1</v>
      </c>
      <c r="Q83" s="203">
        <f t="shared" ref="Q83:R83" si="28">Q82+1</f>
        <v>2021</v>
      </c>
      <c r="R83" s="75">
        <v>100</v>
      </c>
      <c r="S83" s="75">
        <v>0</v>
      </c>
      <c r="T83" s="206">
        <f t="shared" si="23"/>
        <v>0</v>
      </c>
      <c r="U83" s="207">
        <v>1</v>
      </c>
      <c r="V83" s="43">
        <f t="shared" si="24"/>
        <v>0</v>
      </c>
    </row>
    <row r="84" spans="2:22" x14ac:dyDescent="0.25">
      <c r="B84" s="203">
        <f t="shared" si="13"/>
        <v>2022</v>
      </c>
      <c r="C84" s="75">
        <v>10</v>
      </c>
      <c r="D84" s="196">
        <v>249.9</v>
      </c>
      <c r="E84" s="204">
        <f t="shared" si="19"/>
        <v>2499</v>
      </c>
      <c r="F84" s="198">
        <f t="shared" si="11"/>
        <v>0.9</v>
      </c>
      <c r="G84" s="199">
        <v>0.35</v>
      </c>
      <c r="H84" s="199">
        <f t="shared" si="11"/>
        <v>0</v>
      </c>
      <c r="I84" s="199">
        <v>0.16</v>
      </c>
      <c r="J84" s="199">
        <v>0.13</v>
      </c>
      <c r="K84" s="199">
        <v>0.08</v>
      </c>
      <c r="L84" s="199">
        <f t="shared" si="11"/>
        <v>0</v>
      </c>
      <c r="M84" s="199">
        <f t="shared" si="20"/>
        <v>0.28000000000000003</v>
      </c>
      <c r="N84" s="205">
        <f t="shared" si="21"/>
        <v>1</v>
      </c>
      <c r="Q84" s="203">
        <f t="shared" ref="Q84:R84" si="29">Q83+1</f>
        <v>2022</v>
      </c>
      <c r="R84" s="75">
        <v>100</v>
      </c>
      <c r="S84" s="75">
        <v>0</v>
      </c>
      <c r="T84" s="206">
        <f t="shared" si="23"/>
        <v>0</v>
      </c>
      <c r="U84" s="207">
        <v>1</v>
      </c>
      <c r="V84" s="43">
        <f t="shared" si="24"/>
        <v>0</v>
      </c>
    </row>
    <row r="85" spans="2:22" x14ac:dyDescent="0.25">
      <c r="B85" s="203">
        <f t="shared" si="13"/>
        <v>2023</v>
      </c>
      <c r="C85" s="75">
        <v>10</v>
      </c>
      <c r="D85" s="196">
        <v>249.9</v>
      </c>
      <c r="E85" s="204">
        <f t="shared" si="19"/>
        <v>2499</v>
      </c>
      <c r="F85" s="198">
        <f t="shared" si="11"/>
        <v>0.9</v>
      </c>
      <c r="G85" s="199">
        <v>0.35</v>
      </c>
      <c r="H85" s="199">
        <f t="shared" si="11"/>
        <v>0</v>
      </c>
      <c r="I85" s="199">
        <v>0.16</v>
      </c>
      <c r="J85" s="199">
        <v>0.13</v>
      </c>
      <c r="K85" s="199">
        <v>0.08</v>
      </c>
      <c r="L85" s="199">
        <f t="shared" si="11"/>
        <v>0</v>
      </c>
      <c r="M85" s="199">
        <f t="shared" si="20"/>
        <v>0.28000000000000003</v>
      </c>
      <c r="N85" s="205">
        <f t="shared" si="21"/>
        <v>1</v>
      </c>
      <c r="Q85" s="203">
        <f t="shared" ref="Q85:R85" si="30">Q84+1</f>
        <v>2023</v>
      </c>
      <c r="R85" s="75">
        <v>100</v>
      </c>
      <c r="S85" s="75">
        <v>0</v>
      </c>
      <c r="T85" s="206">
        <f t="shared" si="23"/>
        <v>0</v>
      </c>
      <c r="U85" s="207">
        <v>1</v>
      </c>
      <c r="V85" s="43">
        <f t="shared" si="24"/>
        <v>0</v>
      </c>
    </row>
    <row r="86" spans="2:22" x14ac:dyDescent="0.25">
      <c r="B86" s="203">
        <f t="shared" si="13"/>
        <v>2024</v>
      </c>
      <c r="C86" s="75">
        <v>10</v>
      </c>
      <c r="D86" s="196">
        <v>249.9</v>
      </c>
      <c r="E86" s="204">
        <f t="shared" si="19"/>
        <v>2499</v>
      </c>
      <c r="F86" s="198">
        <f t="shared" ref="F86:L102" si="31">F$8</f>
        <v>0.9</v>
      </c>
      <c r="G86" s="199">
        <v>0.35</v>
      </c>
      <c r="H86" s="199">
        <f t="shared" si="31"/>
        <v>0</v>
      </c>
      <c r="I86" s="199">
        <v>0.16</v>
      </c>
      <c r="J86" s="199">
        <v>0.13</v>
      </c>
      <c r="K86" s="199">
        <v>0.08</v>
      </c>
      <c r="L86" s="199">
        <f t="shared" si="31"/>
        <v>0</v>
      </c>
      <c r="M86" s="199">
        <f t="shared" si="20"/>
        <v>0.28000000000000003</v>
      </c>
      <c r="N86" s="205">
        <f t="shared" si="21"/>
        <v>1</v>
      </c>
      <c r="Q86" s="203">
        <f t="shared" ref="Q86:R86" si="32">Q85+1</f>
        <v>2024</v>
      </c>
      <c r="R86" s="75">
        <v>100</v>
      </c>
      <c r="S86" s="75">
        <v>0</v>
      </c>
      <c r="T86" s="206">
        <f t="shared" si="23"/>
        <v>0</v>
      </c>
      <c r="U86" s="207">
        <v>1</v>
      </c>
      <c r="V86" s="43">
        <f t="shared" si="24"/>
        <v>0</v>
      </c>
    </row>
    <row r="87" spans="2:22" x14ac:dyDescent="0.25">
      <c r="B87" s="203">
        <f t="shared" si="13"/>
        <v>2025</v>
      </c>
      <c r="C87" s="75">
        <v>10</v>
      </c>
      <c r="D87" s="196">
        <v>249.9</v>
      </c>
      <c r="E87" s="204">
        <f t="shared" si="19"/>
        <v>2499</v>
      </c>
      <c r="F87" s="198">
        <f t="shared" si="31"/>
        <v>0.9</v>
      </c>
      <c r="G87" s="199">
        <v>0.35</v>
      </c>
      <c r="H87" s="199">
        <f t="shared" si="31"/>
        <v>0</v>
      </c>
      <c r="I87" s="199">
        <v>0.16</v>
      </c>
      <c r="J87" s="199">
        <v>0.13</v>
      </c>
      <c r="K87" s="199">
        <v>0.08</v>
      </c>
      <c r="L87" s="199">
        <f t="shared" si="31"/>
        <v>0</v>
      </c>
      <c r="M87" s="199">
        <f t="shared" si="20"/>
        <v>0.28000000000000003</v>
      </c>
      <c r="N87" s="205">
        <f t="shared" si="21"/>
        <v>1</v>
      </c>
      <c r="Q87" s="203">
        <f t="shared" ref="Q87:R87" si="33">Q86+1</f>
        <v>2025</v>
      </c>
      <c r="R87" s="75">
        <v>100</v>
      </c>
      <c r="S87" s="75">
        <v>0</v>
      </c>
      <c r="T87" s="206">
        <f t="shared" si="23"/>
        <v>0</v>
      </c>
      <c r="U87" s="207">
        <v>1</v>
      </c>
      <c r="V87" s="43">
        <f t="shared" si="24"/>
        <v>0</v>
      </c>
    </row>
    <row r="88" spans="2:22" x14ac:dyDescent="0.25">
      <c r="B88" s="203">
        <f t="shared" si="13"/>
        <v>2026</v>
      </c>
      <c r="C88" s="75">
        <v>10</v>
      </c>
      <c r="D88" s="196">
        <v>249.9</v>
      </c>
      <c r="E88" s="204">
        <f t="shared" si="19"/>
        <v>2499</v>
      </c>
      <c r="F88" s="198">
        <f t="shared" si="31"/>
        <v>0.9</v>
      </c>
      <c r="G88" s="199">
        <v>0.35</v>
      </c>
      <c r="H88" s="199">
        <f t="shared" si="31"/>
        <v>0</v>
      </c>
      <c r="I88" s="199">
        <v>0.16</v>
      </c>
      <c r="J88" s="199">
        <v>0.13</v>
      </c>
      <c r="K88" s="199">
        <v>0.08</v>
      </c>
      <c r="L88" s="199">
        <f t="shared" si="31"/>
        <v>0</v>
      </c>
      <c r="M88" s="199">
        <f t="shared" si="20"/>
        <v>0.28000000000000003</v>
      </c>
      <c r="N88" s="205">
        <f t="shared" si="21"/>
        <v>1</v>
      </c>
      <c r="Q88" s="203">
        <f t="shared" ref="Q88:R88" si="34">Q87+1</f>
        <v>2026</v>
      </c>
      <c r="R88" s="75">
        <v>100</v>
      </c>
      <c r="S88" s="75">
        <v>0</v>
      </c>
      <c r="T88" s="206">
        <f t="shared" si="23"/>
        <v>0</v>
      </c>
      <c r="U88" s="207">
        <v>1</v>
      </c>
      <c r="V88" s="43">
        <f t="shared" si="24"/>
        <v>0</v>
      </c>
    </row>
    <row r="89" spans="2:22" x14ac:dyDescent="0.25">
      <c r="B89" s="203">
        <f t="shared" si="13"/>
        <v>2027</v>
      </c>
      <c r="C89" s="75">
        <v>10</v>
      </c>
      <c r="D89" s="196">
        <v>249.9</v>
      </c>
      <c r="E89" s="204">
        <f t="shared" si="19"/>
        <v>2499</v>
      </c>
      <c r="F89" s="198">
        <f t="shared" si="31"/>
        <v>0.9</v>
      </c>
      <c r="G89" s="199">
        <v>0.35</v>
      </c>
      <c r="H89" s="199">
        <f t="shared" si="31"/>
        <v>0</v>
      </c>
      <c r="I89" s="199">
        <v>0.16</v>
      </c>
      <c r="J89" s="199">
        <v>0.13</v>
      </c>
      <c r="K89" s="199">
        <v>0.08</v>
      </c>
      <c r="L89" s="199">
        <f t="shared" si="31"/>
        <v>0</v>
      </c>
      <c r="M89" s="199">
        <f t="shared" si="20"/>
        <v>0.28000000000000003</v>
      </c>
      <c r="N89" s="205">
        <f t="shared" si="21"/>
        <v>1</v>
      </c>
      <c r="Q89" s="203">
        <f t="shared" ref="Q89:R89" si="35">Q88+1</f>
        <v>2027</v>
      </c>
      <c r="R89" s="75">
        <v>100</v>
      </c>
      <c r="S89" s="75">
        <v>0</v>
      </c>
      <c r="T89" s="206">
        <f t="shared" si="23"/>
        <v>0</v>
      </c>
      <c r="U89" s="207">
        <v>1</v>
      </c>
      <c r="V89" s="43">
        <f t="shared" si="24"/>
        <v>0</v>
      </c>
    </row>
    <row r="90" spans="2:22" x14ac:dyDescent="0.25">
      <c r="B90" s="203">
        <f t="shared" si="13"/>
        <v>2028</v>
      </c>
      <c r="C90" s="75">
        <v>10</v>
      </c>
      <c r="D90" s="196">
        <v>249.9</v>
      </c>
      <c r="E90" s="204">
        <f t="shared" si="19"/>
        <v>2499</v>
      </c>
      <c r="F90" s="198">
        <f t="shared" si="31"/>
        <v>0.9</v>
      </c>
      <c r="G90" s="199">
        <v>0.35</v>
      </c>
      <c r="H90" s="199">
        <f t="shared" si="31"/>
        <v>0</v>
      </c>
      <c r="I90" s="199">
        <v>0.16</v>
      </c>
      <c r="J90" s="199">
        <v>0.13</v>
      </c>
      <c r="K90" s="199">
        <v>0.08</v>
      </c>
      <c r="L90" s="199">
        <f t="shared" si="31"/>
        <v>0</v>
      </c>
      <c r="M90" s="199">
        <f t="shared" si="20"/>
        <v>0.28000000000000003</v>
      </c>
      <c r="N90" s="205">
        <f t="shared" si="21"/>
        <v>1</v>
      </c>
      <c r="Q90" s="203">
        <f t="shared" ref="Q90:R90" si="36">Q89+1</f>
        <v>2028</v>
      </c>
      <c r="R90" s="75">
        <v>100</v>
      </c>
      <c r="S90" s="75">
        <v>0</v>
      </c>
      <c r="T90" s="206">
        <f t="shared" si="23"/>
        <v>0</v>
      </c>
      <c r="U90" s="207">
        <v>1</v>
      </c>
      <c r="V90" s="43">
        <f t="shared" si="24"/>
        <v>0</v>
      </c>
    </row>
    <row r="91" spans="2:22" x14ac:dyDescent="0.25">
      <c r="B91" s="203">
        <f t="shared" si="13"/>
        <v>2029</v>
      </c>
      <c r="C91" s="75">
        <v>10</v>
      </c>
      <c r="D91" s="196">
        <v>249.9</v>
      </c>
      <c r="E91" s="204">
        <f t="shared" si="19"/>
        <v>2499</v>
      </c>
      <c r="F91" s="198">
        <f t="shared" si="31"/>
        <v>0.9</v>
      </c>
      <c r="G91" s="199">
        <v>0.35</v>
      </c>
      <c r="H91" s="199">
        <f t="shared" si="31"/>
        <v>0</v>
      </c>
      <c r="I91" s="199">
        <v>0.16</v>
      </c>
      <c r="J91" s="199">
        <v>0.13</v>
      </c>
      <c r="K91" s="199">
        <v>0.08</v>
      </c>
      <c r="L91" s="199">
        <f t="shared" si="31"/>
        <v>0</v>
      </c>
      <c r="M91" s="199">
        <f t="shared" si="20"/>
        <v>0.28000000000000003</v>
      </c>
      <c r="N91" s="205">
        <f t="shared" si="21"/>
        <v>1</v>
      </c>
      <c r="Q91" s="203">
        <f t="shared" ref="Q91:R91" si="37">Q90+1</f>
        <v>2029</v>
      </c>
      <c r="R91" s="75">
        <v>100</v>
      </c>
      <c r="S91" s="75">
        <v>0</v>
      </c>
      <c r="T91" s="206">
        <f t="shared" si="23"/>
        <v>0</v>
      </c>
      <c r="U91" s="207">
        <v>1</v>
      </c>
      <c r="V91" s="43">
        <f t="shared" si="24"/>
        <v>0</v>
      </c>
    </row>
    <row r="92" spans="2:22" x14ac:dyDescent="0.25">
      <c r="B92" s="203">
        <f t="shared" si="13"/>
        <v>2030</v>
      </c>
      <c r="C92" s="75">
        <v>10</v>
      </c>
      <c r="D92" s="196">
        <v>249.9</v>
      </c>
      <c r="E92" s="204">
        <f t="shared" si="19"/>
        <v>2499</v>
      </c>
      <c r="F92" s="198">
        <f t="shared" si="31"/>
        <v>0.9</v>
      </c>
      <c r="G92" s="199">
        <v>0.35</v>
      </c>
      <c r="H92" s="199">
        <f t="shared" si="31"/>
        <v>0</v>
      </c>
      <c r="I92" s="199">
        <v>0.16</v>
      </c>
      <c r="J92" s="199">
        <v>0.13</v>
      </c>
      <c r="K92" s="199">
        <v>0.08</v>
      </c>
      <c r="L92" s="199">
        <f t="shared" si="31"/>
        <v>0</v>
      </c>
      <c r="M92" s="199">
        <f t="shared" si="20"/>
        <v>0.28000000000000003</v>
      </c>
      <c r="N92" s="205">
        <f t="shared" si="21"/>
        <v>1</v>
      </c>
      <c r="Q92" s="203">
        <f t="shared" ref="Q92:R92" si="38">Q91+1</f>
        <v>2030</v>
      </c>
      <c r="R92" s="75">
        <v>100</v>
      </c>
      <c r="S92" s="75">
        <v>0</v>
      </c>
      <c r="T92" s="206">
        <f t="shared" si="23"/>
        <v>0</v>
      </c>
      <c r="U92" s="207">
        <v>1</v>
      </c>
      <c r="V92" s="43">
        <f t="shared" si="24"/>
        <v>0</v>
      </c>
    </row>
    <row r="93" spans="2:22" x14ac:dyDescent="0.25">
      <c r="B93" s="203">
        <f t="shared" si="13"/>
        <v>2031</v>
      </c>
      <c r="C93" s="75">
        <v>10</v>
      </c>
      <c r="D93" s="196">
        <v>249.9</v>
      </c>
      <c r="E93" s="204">
        <f t="shared" si="19"/>
        <v>2499</v>
      </c>
      <c r="F93" s="198">
        <f t="shared" si="31"/>
        <v>0.9</v>
      </c>
      <c r="G93" s="199">
        <v>0.35</v>
      </c>
      <c r="H93" s="199">
        <f t="shared" si="31"/>
        <v>0</v>
      </c>
      <c r="I93" s="199">
        <v>0.16</v>
      </c>
      <c r="J93" s="199">
        <v>0.13</v>
      </c>
      <c r="K93" s="199">
        <v>0.08</v>
      </c>
      <c r="L93" s="199">
        <f t="shared" si="31"/>
        <v>0</v>
      </c>
      <c r="M93" s="199">
        <f t="shared" si="20"/>
        <v>0.28000000000000003</v>
      </c>
      <c r="N93" s="205">
        <f t="shared" si="21"/>
        <v>1</v>
      </c>
      <c r="Q93" s="203">
        <f t="shared" ref="Q93:R93" si="39">Q92+1</f>
        <v>2031</v>
      </c>
      <c r="R93" s="75">
        <v>100</v>
      </c>
      <c r="S93" s="75">
        <v>0</v>
      </c>
      <c r="T93" s="206">
        <f t="shared" si="23"/>
        <v>0</v>
      </c>
      <c r="U93" s="207">
        <v>1</v>
      </c>
      <c r="V93" s="43">
        <f t="shared" si="24"/>
        <v>0</v>
      </c>
    </row>
    <row r="94" spans="2:22" x14ac:dyDescent="0.25">
      <c r="B94" s="203">
        <f t="shared" si="13"/>
        <v>2032</v>
      </c>
      <c r="C94" s="75">
        <v>10</v>
      </c>
      <c r="D94" s="196">
        <v>249.9</v>
      </c>
      <c r="E94" s="204">
        <f t="shared" si="19"/>
        <v>2499</v>
      </c>
      <c r="F94" s="198">
        <f t="shared" si="31"/>
        <v>0.9</v>
      </c>
      <c r="G94" s="199">
        <v>0.35</v>
      </c>
      <c r="H94" s="199">
        <f t="shared" si="31"/>
        <v>0</v>
      </c>
      <c r="I94" s="199">
        <v>0.16</v>
      </c>
      <c r="J94" s="199">
        <v>0.13</v>
      </c>
      <c r="K94" s="199">
        <v>0.08</v>
      </c>
      <c r="L94" s="199">
        <f t="shared" si="31"/>
        <v>0</v>
      </c>
      <c r="M94" s="199">
        <f t="shared" si="20"/>
        <v>0.28000000000000003</v>
      </c>
      <c r="N94" s="205">
        <f t="shared" si="21"/>
        <v>1</v>
      </c>
      <c r="Q94" s="203">
        <f t="shared" ref="Q94:R94" si="40">Q93+1</f>
        <v>2032</v>
      </c>
      <c r="R94" s="75">
        <v>100</v>
      </c>
      <c r="S94" s="75">
        <v>0</v>
      </c>
      <c r="T94" s="206">
        <f t="shared" si="23"/>
        <v>0</v>
      </c>
      <c r="U94" s="207">
        <v>1</v>
      </c>
      <c r="V94" s="43">
        <f t="shared" si="24"/>
        <v>0</v>
      </c>
    </row>
    <row r="95" spans="2:22" x14ac:dyDescent="0.25">
      <c r="B95" s="203">
        <f t="shared" si="13"/>
        <v>2033</v>
      </c>
      <c r="C95" s="75">
        <v>10</v>
      </c>
      <c r="D95" s="196">
        <v>249.9</v>
      </c>
      <c r="E95" s="204">
        <f t="shared" si="19"/>
        <v>2499</v>
      </c>
      <c r="F95" s="198">
        <f t="shared" si="31"/>
        <v>0.9</v>
      </c>
      <c r="G95" s="199">
        <v>0.35</v>
      </c>
      <c r="H95" s="199">
        <f t="shared" si="31"/>
        <v>0</v>
      </c>
      <c r="I95" s="199">
        <v>0.16</v>
      </c>
      <c r="J95" s="199">
        <v>0.13</v>
      </c>
      <c r="K95" s="199">
        <v>0.08</v>
      </c>
      <c r="L95" s="199">
        <f t="shared" si="31"/>
        <v>0</v>
      </c>
      <c r="M95" s="199">
        <f t="shared" si="20"/>
        <v>0.28000000000000003</v>
      </c>
      <c r="N95" s="205">
        <f t="shared" si="21"/>
        <v>1</v>
      </c>
      <c r="Q95" s="203">
        <f t="shared" ref="Q95:R95" si="41">Q94+1</f>
        <v>2033</v>
      </c>
      <c r="R95" s="75">
        <v>100</v>
      </c>
      <c r="S95" s="75">
        <v>0</v>
      </c>
      <c r="T95" s="206">
        <f t="shared" si="23"/>
        <v>0</v>
      </c>
      <c r="U95" s="207">
        <v>1</v>
      </c>
      <c r="V95" s="43">
        <f t="shared" si="24"/>
        <v>0</v>
      </c>
    </row>
    <row r="96" spans="2:22" x14ac:dyDescent="0.25">
      <c r="B96" s="203">
        <f t="shared" si="13"/>
        <v>2034</v>
      </c>
      <c r="C96" s="75">
        <v>10</v>
      </c>
      <c r="D96" s="196">
        <v>249.9</v>
      </c>
      <c r="E96" s="204">
        <f t="shared" si="19"/>
        <v>2499</v>
      </c>
      <c r="F96" s="198">
        <f t="shared" si="31"/>
        <v>0.9</v>
      </c>
      <c r="G96" s="199">
        <v>0.35</v>
      </c>
      <c r="H96" s="199">
        <f t="shared" si="31"/>
        <v>0</v>
      </c>
      <c r="I96" s="199">
        <v>0.16</v>
      </c>
      <c r="J96" s="199">
        <v>0.13</v>
      </c>
      <c r="K96" s="199">
        <v>0.08</v>
      </c>
      <c r="L96" s="199">
        <f t="shared" si="31"/>
        <v>0</v>
      </c>
      <c r="M96" s="199">
        <f t="shared" si="20"/>
        <v>0.28000000000000003</v>
      </c>
      <c r="N96" s="205">
        <f t="shared" si="21"/>
        <v>1</v>
      </c>
      <c r="Q96" s="203">
        <f t="shared" ref="Q96:R96" si="42">Q95+1</f>
        <v>2034</v>
      </c>
      <c r="R96" s="75">
        <v>100</v>
      </c>
      <c r="S96" s="75">
        <v>0</v>
      </c>
      <c r="T96" s="206">
        <f t="shared" si="23"/>
        <v>0</v>
      </c>
      <c r="U96" s="207">
        <v>1</v>
      </c>
      <c r="V96" s="43">
        <f t="shared" si="24"/>
        <v>0</v>
      </c>
    </row>
    <row r="97" spans="2:22" x14ac:dyDescent="0.25">
      <c r="B97" s="203">
        <f t="shared" si="13"/>
        <v>2035</v>
      </c>
      <c r="C97" s="75">
        <v>10</v>
      </c>
      <c r="D97" s="196">
        <v>249.9</v>
      </c>
      <c r="E97" s="204">
        <f t="shared" si="19"/>
        <v>2499</v>
      </c>
      <c r="F97" s="198">
        <f t="shared" si="31"/>
        <v>0.9</v>
      </c>
      <c r="G97" s="199">
        <v>0.35</v>
      </c>
      <c r="H97" s="199">
        <f t="shared" si="31"/>
        <v>0</v>
      </c>
      <c r="I97" s="199">
        <v>0.16</v>
      </c>
      <c r="J97" s="199">
        <v>0.13</v>
      </c>
      <c r="K97" s="199">
        <v>0.08</v>
      </c>
      <c r="L97" s="199">
        <f t="shared" si="31"/>
        <v>0</v>
      </c>
      <c r="M97" s="199">
        <f t="shared" si="20"/>
        <v>0.28000000000000003</v>
      </c>
      <c r="N97" s="205">
        <f t="shared" si="21"/>
        <v>1</v>
      </c>
      <c r="Q97" s="203">
        <f t="shared" ref="Q97:R97" si="43">Q96+1</f>
        <v>2035</v>
      </c>
      <c r="R97" s="75">
        <v>100</v>
      </c>
      <c r="S97" s="75">
        <v>0</v>
      </c>
      <c r="T97" s="206">
        <f t="shared" si="23"/>
        <v>0</v>
      </c>
      <c r="U97" s="207">
        <v>1</v>
      </c>
      <c r="V97" s="43">
        <f t="shared" si="24"/>
        <v>0</v>
      </c>
    </row>
    <row r="98" spans="2:22" x14ac:dyDescent="0.25">
      <c r="B98" s="203">
        <f t="shared" si="13"/>
        <v>2036</v>
      </c>
      <c r="C98" s="75">
        <v>10</v>
      </c>
      <c r="D98" s="196">
        <v>249.9</v>
      </c>
      <c r="E98" s="204">
        <f t="shared" si="19"/>
        <v>2499</v>
      </c>
      <c r="F98" s="198">
        <f t="shared" si="31"/>
        <v>0.9</v>
      </c>
      <c r="G98" s="199">
        <v>0.35</v>
      </c>
      <c r="H98" s="199">
        <f t="shared" si="31"/>
        <v>0</v>
      </c>
      <c r="I98" s="199">
        <v>0.16</v>
      </c>
      <c r="J98" s="199">
        <v>0.13</v>
      </c>
      <c r="K98" s="199">
        <v>0.08</v>
      </c>
      <c r="L98" s="199">
        <f t="shared" si="31"/>
        <v>0</v>
      </c>
      <c r="M98" s="199">
        <f t="shared" si="20"/>
        <v>0.28000000000000003</v>
      </c>
      <c r="N98" s="205">
        <f t="shared" si="21"/>
        <v>1</v>
      </c>
      <c r="Q98" s="203">
        <f t="shared" ref="Q98:R98" si="44">Q97+1</f>
        <v>2036</v>
      </c>
      <c r="R98" s="75">
        <v>100</v>
      </c>
      <c r="S98" s="75">
        <v>0</v>
      </c>
      <c r="T98" s="206">
        <f t="shared" si="23"/>
        <v>0</v>
      </c>
      <c r="U98" s="207">
        <v>1</v>
      </c>
      <c r="V98" s="43">
        <f t="shared" si="24"/>
        <v>0</v>
      </c>
    </row>
    <row r="99" spans="2:22" x14ac:dyDescent="0.25">
      <c r="B99" s="203">
        <f t="shared" si="13"/>
        <v>2037</v>
      </c>
      <c r="C99" s="75">
        <v>10</v>
      </c>
      <c r="D99" s="196">
        <v>249.9</v>
      </c>
      <c r="E99" s="204">
        <f t="shared" si="19"/>
        <v>2499</v>
      </c>
      <c r="F99" s="198">
        <f t="shared" si="31"/>
        <v>0.9</v>
      </c>
      <c r="G99" s="199">
        <v>0.35</v>
      </c>
      <c r="H99" s="199">
        <f t="shared" si="31"/>
        <v>0</v>
      </c>
      <c r="I99" s="199">
        <v>0.16</v>
      </c>
      <c r="J99" s="199">
        <v>0.13</v>
      </c>
      <c r="K99" s="199">
        <v>0.08</v>
      </c>
      <c r="L99" s="199">
        <f t="shared" si="31"/>
        <v>0</v>
      </c>
      <c r="M99" s="199">
        <f t="shared" si="20"/>
        <v>0.28000000000000003</v>
      </c>
      <c r="N99" s="205">
        <f t="shared" si="21"/>
        <v>1</v>
      </c>
      <c r="Q99" s="203">
        <f t="shared" ref="Q99:R99" si="45">Q98+1</f>
        <v>2037</v>
      </c>
      <c r="R99" s="75">
        <v>100</v>
      </c>
      <c r="S99" s="75">
        <v>0</v>
      </c>
      <c r="T99" s="206">
        <f t="shared" si="23"/>
        <v>0</v>
      </c>
      <c r="U99" s="207">
        <v>1</v>
      </c>
      <c r="V99" s="43">
        <f t="shared" si="24"/>
        <v>0</v>
      </c>
    </row>
    <row r="100" spans="2:22" x14ac:dyDescent="0.25">
      <c r="B100" s="203">
        <f t="shared" si="13"/>
        <v>2038</v>
      </c>
      <c r="C100" s="75">
        <v>10</v>
      </c>
      <c r="D100" s="196">
        <v>249.9</v>
      </c>
      <c r="E100" s="204">
        <f t="shared" si="19"/>
        <v>2499</v>
      </c>
      <c r="F100" s="198">
        <f t="shared" si="31"/>
        <v>0.9</v>
      </c>
      <c r="G100" s="199">
        <v>0.35</v>
      </c>
      <c r="H100" s="199">
        <f t="shared" si="31"/>
        <v>0</v>
      </c>
      <c r="I100" s="199">
        <v>0.16</v>
      </c>
      <c r="J100" s="199">
        <v>0.13</v>
      </c>
      <c r="K100" s="199">
        <v>0.08</v>
      </c>
      <c r="L100" s="199">
        <f t="shared" si="31"/>
        <v>0</v>
      </c>
      <c r="M100" s="199">
        <f t="shared" si="20"/>
        <v>0.28000000000000003</v>
      </c>
      <c r="N100" s="205">
        <f t="shared" si="21"/>
        <v>1</v>
      </c>
      <c r="Q100" s="203">
        <f t="shared" ref="Q100:R100" si="46">Q99+1</f>
        <v>2038</v>
      </c>
      <c r="R100" s="75">
        <v>100</v>
      </c>
      <c r="S100" s="75">
        <v>0</v>
      </c>
      <c r="T100" s="206">
        <f t="shared" si="23"/>
        <v>0</v>
      </c>
      <c r="U100" s="207">
        <v>1</v>
      </c>
      <c r="V100" s="43">
        <f t="shared" si="24"/>
        <v>0</v>
      </c>
    </row>
    <row r="101" spans="2:22" x14ac:dyDescent="0.25">
      <c r="B101" s="203">
        <f t="shared" si="13"/>
        <v>2039</v>
      </c>
      <c r="C101" s="75">
        <v>10</v>
      </c>
      <c r="D101" s="196">
        <v>249.9</v>
      </c>
      <c r="E101" s="204">
        <f t="shared" si="19"/>
        <v>2499</v>
      </c>
      <c r="F101" s="198">
        <f t="shared" si="31"/>
        <v>0.9</v>
      </c>
      <c r="G101" s="199">
        <v>0.35</v>
      </c>
      <c r="H101" s="199">
        <f t="shared" si="31"/>
        <v>0</v>
      </c>
      <c r="I101" s="199">
        <v>0.16</v>
      </c>
      <c r="J101" s="199">
        <v>0.13</v>
      </c>
      <c r="K101" s="199">
        <v>0.08</v>
      </c>
      <c r="L101" s="199">
        <f t="shared" si="31"/>
        <v>0</v>
      </c>
      <c r="M101" s="199">
        <f t="shared" si="20"/>
        <v>0.28000000000000003</v>
      </c>
      <c r="N101" s="205">
        <f t="shared" si="21"/>
        <v>1</v>
      </c>
      <c r="Q101" s="203">
        <f t="shared" ref="Q101:R101" si="47">Q100+1</f>
        <v>2039</v>
      </c>
      <c r="R101" s="75">
        <v>100</v>
      </c>
      <c r="S101" s="75">
        <v>0</v>
      </c>
      <c r="T101" s="206">
        <f t="shared" si="23"/>
        <v>0</v>
      </c>
      <c r="U101" s="207">
        <v>1</v>
      </c>
      <c r="V101" s="43">
        <f t="shared" si="24"/>
        <v>0</v>
      </c>
    </row>
    <row r="102" spans="2:22" ht="15.75" thickBot="1" x14ac:dyDescent="0.3">
      <c r="B102" s="208">
        <f t="shared" si="13"/>
        <v>2040</v>
      </c>
      <c r="C102" s="209">
        <v>10</v>
      </c>
      <c r="D102" s="209">
        <v>249.9</v>
      </c>
      <c r="E102" s="210">
        <f t="shared" si="19"/>
        <v>2499</v>
      </c>
      <c r="F102" s="211">
        <f t="shared" si="31"/>
        <v>0.9</v>
      </c>
      <c r="G102" s="211">
        <v>0.35</v>
      </c>
      <c r="H102" s="211">
        <f t="shared" si="31"/>
        <v>0</v>
      </c>
      <c r="I102" s="211">
        <v>0.16</v>
      </c>
      <c r="J102" s="211">
        <v>0.13</v>
      </c>
      <c r="K102" s="211">
        <v>0.08</v>
      </c>
      <c r="L102" s="211">
        <f t="shared" si="31"/>
        <v>0</v>
      </c>
      <c r="M102" s="211">
        <f t="shared" si="20"/>
        <v>0.28000000000000003</v>
      </c>
      <c r="N102" s="212">
        <f t="shared" si="21"/>
        <v>1</v>
      </c>
      <c r="Q102" s="208">
        <f t="shared" ref="Q102:R102" si="48">Q101+1</f>
        <v>2040</v>
      </c>
      <c r="R102" s="209">
        <v>100</v>
      </c>
      <c r="S102" s="209">
        <v>0</v>
      </c>
      <c r="T102" s="213">
        <f t="shared" si="23"/>
        <v>0</v>
      </c>
      <c r="U102" s="211">
        <v>1</v>
      </c>
      <c r="V102" s="51">
        <f t="shared" si="24"/>
        <v>0</v>
      </c>
    </row>
  </sheetData>
  <mergeCells count="1">
    <mergeCell ref="G9:M9"/>
  </mergeCells>
  <dataValidations count="1">
    <dataValidation type="decimal" showInputMessage="1" showErrorMessage="1" error="Please enter a number between 1% and 100%" sqref="U12:U102 JQ12:JQ102 TM12:TM102 ADI12:ADI102 ANE12:ANE102 AXA12:AXA102 BGW12:BGW102 BQS12:BQS102 CAO12:CAO102 CKK12:CKK102 CUG12:CUG102 DEC12:DEC102 DNY12:DNY102 DXU12:DXU102 EHQ12:EHQ102 ERM12:ERM102 FBI12:FBI102 FLE12:FLE102 FVA12:FVA102 GEW12:GEW102 GOS12:GOS102 GYO12:GYO102 HIK12:HIK102 HSG12:HSG102 ICC12:ICC102 ILY12:ILY102 IVU12:IVU102 JFQ12:JFQ102 JPM12:JPM102 JZI12:JZI102 KJE12:KJE102 KTA12:KTA102 LCW12:LCW102 LMS12:LMS102 LWO12:LWO102 MGK12:MGK102 MQG12:MQG102 NAC12:NAC102 NJY12:NJY102 NTU12:NTU102 ODQ12:ODQ102 ONM12:ONM102 OXI12:OXI102 PHE12:PHE102 PRA12:PRA102 QAW12:QAW102 QKS12:QKS102 QUO12:QUO102 REK12:REK102 ROG12:ROG102 RYC12:RYC102 SHY12:SHY102 SRU12:SRU102 TBQ12:TBQ102 TLM12:TLM102 TVI12:TVI102 UFE12:UFE102 UPA12:UPA102 UYW12:UYW102 VIS12:VIS102 VSO12:VSO102 WCK12:WCK102 WMG12:WMG102 WWC12:WWC102 U65558:U65638 JQ65558:JQ65638 TM65558:TM65638 ADI65558:ADI65638 ANE65558:ANE65638 AXA65558:AXA65638 BGW65558:BGW65638 BQS65558:BQS65638 CAO65558:CAO65638 CKK65558:CKK65638 CUG65558:CUG65638 DEC65558:DEC65638 DNY65558:DNY65638 DXU65558:DXU65638 EHQ65558:EHQ65638 ERM65558:ERM65638 FBI65558:FBI65638 FLE65558:FLE65638 FVA65558:FVA65638 GEW65558:GEW65638 GOS65558:GOS65638 GYO65558:GYO65638 HIK65558:HIK65638 HSG65558:HSG65638 ICC65558:ICC65638 ILY65558:ILY65638 IVU65558:IVU65638 JFQ65558:JFQ65638 JPM65558:JPM65638 JZI65558:JZI65638 KJE65558:KJE65638 KTA65558:KTA65638 LCW65558:LCW65638 LMS65558:LMS65638 LWO65558:LWO65638 MGK65558:MGK65638 MQG65558:MQG65638 NAC65558:NAC65638 NJY65558:NJY65638 NTU65558:NTU65638 ODQ65558:ODQ65638 ONM65558:ONM65638 OXI65558:OXI65638 PHE65558:PHE65638 PRA65558:PRA65638 QAW65558:QAW65638 QKS65558:QKS65638 QUO65558:QUO65638 REK65558:REK65638 ROG65558:ROG65638 RYC65558:RYC65638 SHY65558:SHY65638 SRU65558:SRU65638 TBQ65558:TBQ65638 TLM65558:TLM65638 TVI65558:TVI65638 UFE65558:UFE65638 UPA65558:UPA65638 UYW65558:UYW65638 VIS65558:VIS65638 VSO65558:VSO65638 WCK65558:WCK65638 WMG65558:WMG65638 WWC65558:WWC65638 U131094:U131174 JQ131094:JQ131174 TM131094:TM131174 ADI131094:ADI131174 ANE131094:ANE131174 AXA131094:AXA131174 BGW131094:BGW131174 BQS131094:BQS131174 CAO131094:CAO131174 CKK131094:CKK131174 CUG131094:CUG131174 DEC131094:DEC131174 DNY131094:DNY131174 DXU131094:DXU131174 EHQ131094:EHQ131174 ERM131094:ERM131174 FBI131094:FBI131174 FLE131094:FLE131174 FVA131094:FVA131174 GEW131094:GEW131174 GOS131094:GOS131174 GYO131094:GYO131174 HIK131094:HIK131174 HSG131094:HSG131174 ICC131094:ICC131174 ILY131094:ILY131174 IVU131094:IVU131174 JFQ131094:JFQ131174 JPM131094:JPM131174 JZI131094:JZI131174 KJE131094:KJE131174 KTA131094:KTA131174 LCW131094:LCW131174 LMS131094:LMS131174 LWO131094:LWO131174 MGK131094:MGK131174 MQG131094:MQG131174 NAC131094:NAC131174 NJY131094:NJY131174 NTU131094:NTU131174 ODQ131094:ODQ131174 ONM131094:ONM131174 OXI131094:OXI131174 PHE131094:PHE131174 PRA131094:PRA131174 QAW131094:QAW131174 QKS131094:QKS131174 QUO131094:QUO131174 REK131094:REK131174 ROG131094:ROG131174 RYC131094:RYC131174 SHY131094:SHY131174 SRU131094:SRU131174 TBQ131094:TBQ131174 TLM131094:TLM131174 TVI131094:TVI131174 UFE131094:UFE131174 UPA131094:UPA131174 UYW131094:UYW131174 VIS131094:VIS131174 VSO131094:VSO131174 WCK131094:WCK131174 WMG131094:WMG131174 WWC131094:WWC131174 U196630:U196710 JQ196630:JQ196710 TM196630:TM196710 ADI196630:ADI196710 ANE196630:ANE196710 AXA196630:AXA196710 BGW196630:BGW196710 BQS196630:BQS196710 CAO196630:CAO196710 CKK196630:CKK196710 CUG196630:CUG196710 DEC196630:DEC196710 DNY196630:DNY196710 DXU196630:DXU196710 EHQ196630:EHQ196710 ERM196630:ERM196710 FBI196630:FBI196710 FLE196630:FLE196710 FVA196630:FVA196710 GEW196630:GEW196710 GOS196630:GOS196710 GYO196630:GYO196710 HIK196630:HIK196710 HSG196630:HSG196710 ICC196630:ICC196710 ILY196630:ILY196710 IVU196630:IVU196710 JFQ196630:JFQ196710 JPM196630:JPM196710 JZI196630:JZI196710 KJE196630:KJE196710 KTA196630:KTA196710 LCW196630:LCW196710 LMS196630:LMS196710 LWO196630:LWO196710 MGK196630:MGK196710 MQG196630:MQG196710 NAC196630:NAC196710 NJY196630:NJY196710 NTU196630:NTU196710 ODQ196630:ODQ196710 ONM196630:ONM196710 OXI196630:OXI196710 PHE196630:PHE196710 PRA196630:PRA196710 QAW196630:QAW196710 QKS196630:QKS196710 QUO196630:QUO196710 REK196630:REK196710 ROG196630:ROG196710 RYC196630:RYC196710 SHY196630:SHY196710 SRU196630:SRU196710 TBQ196630:TBQ196710 TLM196630:TLM196710 TVI196630:TVI196710 UFE196630:UFE196710 UPA196630:UPA196710 UYW196630:UYW196710 VIS196630:VIS196710 VSO196630:VSO196710 WCK196630:WCK196710 WMG196630:WMG196710 WWC196630:WWC196710 U262166:U262246 JQ262166:JQ262246 TM262166:TM262246 ADI262166:ADI262246 ANE262166:ANE262246 AXA262166:AXA262246 BGW262166:BGW262246 BQS262166:BQS262246 CAO262166:CAO262246 CKK262166:CKK262246 CUG262166:CUG262246 DEC262166:DEC262246 DNY262166:DNY262246 DXU262166:DXU262246 EHQ262166:EHQ262246 ERM262166:ERM262246 FBI262166:FBI262246 FLE262166:FLE262246 FVA262166:FVA262246 GEW262166:GEW262246 GOS262166:GOS262246 GYO262166:GYO262246 HIK262166:HIK262246 HSG262166:HSG262246 ICC262166:ICC262246 ILY262166:ILY262246 IVU262166:IVU262246 JFQ262166:JFQ262246 JPM262166:JPM262246 JZI262166:JZI262246 KJE262166:KJE262246 KTA262166:KTA262246 LCW262166:LCW262246 LMS262166:LMS262246 LWO262166:LWO262246 MGK262166:MGK262246 MQG262166:MQG262246 NAC262166:NAC262246 NJY262166:NJY262246 NTU262166:NTU262246 ODQ262166:ODQ262246 ONM262166:ONM262246 OXI262166:OXI262246 PHE262166:PHE262246 PRA262166:PRA262246 QAW262166:QAW262246 QKS262166:QKS262246 QUO262166:QUO262246 REK262166:REK262246 ROG262166:ROG262246 RYC262166:RYC262246 SHY262166:SHY262246 SRU262166:SRU262246 TBQ262166:TBQ262246 TLM262166:TLM262246 TVI262166:TVI262246 UFE262166:UFE262246 UPA262166:UPA262246 UYW262166:UYW262246 VIS262166:VIS262246 VSO262166:VSO262246 WCK262166:WCK262246 WMG262166:WMG262246 WWC262166:WWC262246 U327702:U327782 JQ327702:JQ327782 TM327702:TM327782 ADI327702:ADI327782 ANE327702:ANE327782 AXA327702:AXA327782 BGW327702:BGW327782 BQS327702:BQS327782 CAO327702:CAO327782 CKK327702:CKK327782 CUG327702:CUG327782 DEC327702:DEC327782 DNY327702:DNY327782 DXU327702:DXU327782 EHQ327702:EHQ327782 ERM327702:ERM327782 FBI327702:FBI327782 FLE327702:FLE327782 FVA327702:FVA327782 GEW327702:GEW327782 GOS327702:GOS327782 GYO327702:GYO327782 HIK327702:HIK327782 HSG327702:HSG327782 ICC327702:ICC327782 ILY327702:ILY327782 IVU327702:IVU327782 JFQ327702:JFQ327782 JPM327702:JPM327782 JZI327702:JZI327782 KJE327702:KJE327782 KTA327702:KTA327782 LCW327702:LCW327782 LMS327702:LMS327782 LWO327702:LWO327782 MGK327702:MGK327782 MQG327702:MQG327782 NAC327702:NAC327782 NJY327702:NJY327782 NTU327702:NTU327782 ODQ327702:ODQ327782 ONM327702:ONM327782 OXI327702:OXI327782 PHE327702:PHE327782 PRA327702:PRA327782 QAW327702:QAW327782 QKS327702:QKS327782 QUO327702:QUO327782 REK327702:REK327782 ROG327702:ROG327782 RYC327702:RYC327782 SHY327702:SHY327782 SRU327702:SRU327782 TBQ327702:TBQ327782 TLM327702:TLM327782 TVI327702:TVI327782 UFE327702:UFE327782 UPA327702:UPA327782 UYW327702:UYW327782 VIS327702:VIS327782 VSO327702:VSO327782 WCK327702:WCK327782 WMG327702:WMG327782 WWC327702:WWC327782 U393238:U393318 JQ393238:JQ393318 TM393238:TM393318 ADI393238:ADI393318 ANE393238:ANE393318 AXA393238:AXA393318 BGW393238:BGW393318 BQS393238:BQS393318 CAO393238:CAO393318 CKK393238:CKK393318 CUG393238:CUG393318 DEC393238:DEC393318 DNY393238:DNY393318 DXU393238:DXU393318 EHQ393238:EHQ393318 ERM393238:ERM393318 FBI393238:FBI393318 FLE393238:FLE393318 FVA393238:FVA393318 GEW393238:GEW393318 GOS393238:GOS393318 GYO393238:GYO393318 HIK393238:HIK393318 HSG393238:HSG393318 ICC393238:ICC393318 ILY393238:ILY393318 IVU393238:IVU393318 JFQ393238:JFQ393318 JPM393238:JPM393318 JZI393238:JZI393318 KJE393238:KJE393318 KTA393238:KTA393318 LCW393238:LCW393318 LMS393238:LMS393318 LWO393238:LWO393318 MGK393238:MGK393318 MQG393238:MQG393318 NAC393238:NAC393318 NJY393238:NJY393318 NTU393238:NTU393318 ODQ393238:ODQ393318 ONM393238:ONM393318 OXI393238:OXI393318 PHE393238:PHE393318 PRA393238:PRA393318 QAW393238:QAW393318 QKS393238:QKS393318 QUO393238:QUO393318 REK393238:REK393318 ROG393238:ROG393318 RYC393238:RYC393318 SHY393238:SHY393318 SRU393238:SRU393318 TBQ393238:TBQ393318 TLM393238:TLM393318 TVI393238:TVI393318 UFE393238:UFE393318 UPA393238:UPA393318 UYW393238:UYW393318 VIS393238:VIS393318 VSO393238:VSO393318 WCK393238:WCK393318 WMG393238:WMG393318 WWC393238:WWC393318 U458774:U458854 JQ458774:JQ458854 TM458774:TM458854 ADI458774:ADI458854 ANE458774:ANE458854 AXA458774:AXA458854 BGW458774:BGW458854 BQS458774:BQS458854 CAO458774:CAO458854 CKK458774:CKK458854 CUG458774:CUG458854 DEC458774:DEC458854 DNY458774:DNY458854 DXU458774:DXU458854 EHQ458774:EHQ458854 ERM458774:ERM458854 FBI458774:FBI458854 FLE458774:FLE458854 FVA458774:FVA458854 GEW458774:GEW458854 GOS458774:GOS458854 GYO458774:GYO458854 HIK458774:HIK458854 HSG458774:HSG458854 ICC458774:ICC458854 ILY458774:ILY458854 IVU458774:IVU458854 JFQ458774:JFQ458854 JPM458774:JPM458854 JZI458774:JZI458854 KJE458774:KJE458854 KTA458774:KTA458854 LCW458774:LCW458854 LMS458774:LMS458854 LWO458774:LWO458854 MGK458774:MGK458854 MQG458774:MQG458854 NAC458774:NAC458854 NJY458774:NJY458854 NTU458774:NTU458854 ODQ458774:ODQ458854 ONM458774:ONM458854 OXI458774:OXI458854 PHE458774:PHE458854 PRA458774:PRA458854 QAW458774:QAW458854 QKS458774:QKS458854 QUO458774:QUO458854 REK458774:REK458854 ROG458774:ROG458854 RYC458774:RYC458854 SHY458774:SHY458854 SRU458774:SRU458854 TBQ458774:TBQ458854 TLM458774:TLM458854 TVI458774:TVI458854 UFE458774:UFE458854 UPA458774:UPA458854 UYW458774:UYW458854 VIS458774:VIS458854 VSO458774:VSO458854 WCK458774:WCK458854 WMG458774:WMG458854 WWC458774:WWC458854 U524310:U524390 JQ524310:JQ524390 TM524310:TM524390 ADI524310:ADI524390 ANE524310:ANE524390 AXA524310:AXA524390 BGW524310:BGW524390 BQS524310:BQS524390 CAO524310:CAO524390 CKK524310:CKK524390 CUG524310:CUG524390 DEC524310:DEC524390 DNY524310:DNY524390 DXU524310:DXU524390 EHQ524310:EHQ524390 ERM524310:ERM524390 FBI524310:FBI524390 FLE524310:FLE524390 FVA524310:FVA524390 GEW524310:GEW524390 GOS524310:GOS524390 GYO524310:GYO524390 HIK524310:HIK524390 HSG524310:HSG524390 ICC524310:ICC524390 ILY524310:ILY524390 IVU524310:IVU524390 JFQ524310:JFQ524390 JPM524310:JPM524390 JZI524310:JZI524390 KJE524310:KJE524390 KTA524310:KTA524390 LCW524310:LCW524390 LMS524310:LMS524390 LWO524310:LWO524390 MGK524310:MGK524390 MQG524310:MQG524390 NAC524310:NAC524390 NJY524310:NJY524390 NTU524310:NTU524390 ODQ524310:ODQ524390 ONM524310:ONM524390 OXI524310:OXI524390 PHE524310:PHE524390 PRA524310:PRA524390 QAW524310:QAW524390 QKS524310:QKS524390 QUO524310:QUO524390 REK524310:REK524390 ROG524310:ROG524390 RYC524310:RYC524390 SHY524310:SHY524390 SRU524310:SRU524390 TBQ524310:TBQ524390 TLM524310:TLM524390 TVI524310:TVI524390 UFE524310:UFE524390 UPA524310:UPA524390 UYW524310:UYW524390 VIS524310:VIS524390 VSO524310:VSO524390 WCK524310:WCK524390 WMG524310:WMG524390 WWC524310:WWC524390 U589846:U589926 JQ589846:JQ589926 TM589846:TM589926 ADI589846:ADI589926 ANE589846:ANE589926 AXA589846:AXA589926 BGW589846:BGW589926 BQS589846:BQS589926 CAO589846:CAO589926 CKK589846:CKK589926 CUG589846:CUG589926 DEC589846:DEC589926 DNY589846:DNY589926 DXU589846:DXU589926 EHQ589846:EHQ589926 ERM589846:ERM589926 FBI589846:FBI589926 FLE589846:FLE589926 FVA589846:FVA589926 GEW589846:GEW589926 GOS589846:GOS589926 GYO589846:GYO589926 HIK589846:HIK589926 HSG589846:HSG589926 ICC589846:ICC589926 ILY589846:ILY589926 IVU589846:IVU589926 JFQ589846:JFQ589926 JPM589846:JPM589926 JZI589846:JZI589926 KJE589846:KJE589926 KTA589846:KTA589926 LCW589846:LCW589926 LMS589846:LMS589926 LWO589846:LWO589926 MGK589846:MGK589926 MQG589846:MQG589926 NAC589846:NAC589926 NJY589846:NJY589926 NTU589846:NTU589926 ODQ589846:ODQ589926 ONM589846:ONM589926 OXI589846:OXI589926 PHE589846:PHE589926 PRA589846:PRA589926 QAW589846:QAW589926 QKS589846:QKS589926 QUO589846:QUO589926 REK589846:REK589926 ROG589846:ROG589926 RYC589846:RYC589926 SHY589846:SHY589926 SRU589846:SRU589926 TBQ589846:TBQ589926 TLM589846:TLM589926 TVI589846:TVI589926 UFE589846:UFE589926 UPA589846:UPA589926 UYW589846:UYW589926 VIS589846:VIS589926 VSO589846:VSO589926 WCK589846:WCK589926 WMG589846:WMG589926 WWC589846:WWC589926 U655382:U655462 JQ655382:JQ655462 TM655382:TM655462 ADI655382:ADI655462 ANE655382:ANE655462 AXA655382:AXA655462 BGW655382:BGW655462 BQS655382:BQS655462 CAO655382:CAO655462 CKK655382:CKK655462 CUG655382:CUG655462 DEC655382:DEC655462 DNY655382:DNY655462 DXU655382:DXU655462 EHQ655382:EHQ655462 ERM655382:ERM655462 FBI655382:FBI655462 FLE655382:FLE655462 FVA655382:FVA655462 GEW655382:GEW655462 GOS655382:GOS655462 GYO655382:GYO655462 HIK655382:HIK655462 HSG655382:HSG655462 ICC655382:ICC655462 ILY655382:ILY655462 IVU655382:IVU655462 JFQ655382:JFQ655462 JPM655382:JPM655462 JZI655382:JZI655462 KJE655382:KJE655462 KTA655382:KTA655462 LCW655382:LCW655462 LMS655382:LMS655462 LWO655382:LWO655462 MGK655382:MGK655462 MQG655382:MQG655462 NAC655382:NAC655462 NJY655382:NJY655462 NTU655382:NTU655462 ODQ655382:ODQ655462 ONM655382:ONM655462 OXI655382:OXI655462 PHE655382:PHE655462 PRA655382:PRA655462 QAW655382:QAW655462 QKS655382:QKS655462 QUO655382:QUO655462 REK655382:REK655462 ROG655382:ROG655462 RYC655382:RYC655462 SHY655382:SHY655462 SRU655382:SRU655462 TBQ655382:TBQ655462 TLM655382:TLM655462 TVI655382:TVI655462 UFE655382:UFE655462 UPA655382:UPA655462 UYW655382:UYW655462 VIS655382:VIS655462 VSO655382:VSO655462 WCK655382:WCK655462 WMG655382:WMG655462 WWC655382:WWC655462 U720918:U720998 JQ720918:JQ720998 TM720918:TM720998 ADI720918:ADI720998 ANE720918:ANE720998 AXA720918:AXA720998 BGW720918:BGW720998 BQS720918:BQS720998 CAO720918:CAO720998 CKK720918:CKK720998 CUG720918:CUG720998 DEC720918:DEC720998 DNY720918:DNY720998 DXU720918:DXU720998 EHQ720918:EHQ720998 ERM720918:ERM720998 FBI720918:FBI720998 FLE720918:FLE720998 FVA720918:FVA720998 GEW720918:GEW720998 GOS720918:GOS720998 GYO720918:GYO720998 HIK720918:HIK720998 HSG720918:HSG720998 ICC720918:ICC720998 ILY720918:ILY720998 IVU720918:IVU720998 JFQ720918:JFQ720998 JPM720918:JPM720998 JZI720918:JZI720998 KJE720918:KJE720998 KTA720918:KTA720998 LCW720918:LCW720998 LMS720918:LMS720998 LWO720918:LWO720998 MGK720918:MGK720998 MQG720918:MQG720998 NAC720918:NAC720998 NJY720918:NJY720998 NTU720918:NTU720998 ODQ720918:ODQ720998 ONM720918:ONM720998 OXI720918:OXI720998 PHE720918:PHE720998 PRA720918:PRA720998 QAW720918:QAW720998 QKS720918:QKS720998 QUO720918:QUO720998 REK720918:REK720998 ROG720918:ROG720998 RYC720918:RYC720998 SHY720918:SHY720998 SRU720918:SRU720998 TBQ720918:TBQ720998 TLM720918:TLM720998 TVI720918:TVI720998 UFE720918:UFE720998 UPA720918:UPA720998 UYW720918:UYW720998 VIS720918:VIS720998 VSO720918:VSO720998 WCK720918:WCK720998 WMG720918:WMG720998 WWC720918:WWC720998 U786454:U786534 JQ786454:JQ786534 TM786454:TM786534 ADI786454:ADI786534 ANE786454:ANE786534 AXA786454:AXA786534 BGW786454:BGW786534 BQS786454:BQS786534 CAO786454:CAO786534 CKK786454:CKK786534 CUG786454:CUG786534 DEC786454:DEC786534 DNY786454:DNY786534 DXU786454:DXU786534 EHQ786454:EHQ786534 ERM786454:ERM786534 FBI786454:FBI786534 FLE786454:FLE786534 FVA786454:FVA786534 GEW786454:GEW786534 GOS786454:GOS786534 GYO786454:GYO786534 HIK786454:HIK786534 HSG786454:HSG786534 ICC786454:ICC786534 ILY786454:ILY786534 IVU786454:IVU786534 JFQ786454:JFQ786534 JPM786454:JPM786534 JZI786454:JZI786534 KJE786454:KJE786534 KTA786454:KTA786534 LCW786454:LCW786534 LMS786454:LMS786534 LWO786454:LWO786534 MGK786454:MGK786534 MQG786454:MQG786534 NAC786454:NAC786534 NJY786454:NJY786534 NTU786454:NTU786534 ODQ786454:ODQ786534 ONM786454:ONM786534 OXI786454:OXI786534 PHE786454:PHE786534 PRA786454:PRA786534 QAW786454:QAW786534 QKS786454:QKS786534 QUO786454:QUO786534 REK786454:REK786534 ROG786454:ROG786534 RYC786454:RYC786534 SHY786454:SHY786534 SRU786454:SRU786534 TBQ786454:TBQ786534 TLM786454:TLM786534 TVI786454:TVI786534 UFE786454:UFE786534 UPA786454:UPA786534 UYW786454:UYW786534 VIS786454:VIS786534 VSO786454:VSO786534 WCK786454:WCK786534 WMG786454:WMG786534 WWC786454:WWC786534 U851990:U852070 JQ851990:JQ852070 TM851990:TM852070 ADI851990:ADI852070 ANE851990:ANE852070 AXA851990:AXA852070 BGW851990:BGW852070 BQS851990:BQS852070 CAO851990:CAO852070 CKK851990:CKK852070 CUG851990:CUG852070 DEC851990:DEC852070 DNY851990:DNY852070 DXU851990:DXU852070 EHQ851990:EHQ852070 ERM851990:ERM852070 FBI851990:FBI852070 FLE851990:FLE852070 FVA851990:FVA852070 GEW851990:GEW852070 GOS851990:GOS852070 GYO851990:GYO852070 HIK851990:HIK852070 HSG851990:HSG852070 ICC851990:ICC852070 ILY851990:ILY852070 IVU851990:IVU852070 JFQ851990:JFQ852070 JPM851990:JPM852070 JZI851990:JZI852070 KJE851990:KJE852070 KTA851990:KTA852070 LCW851990:LCW852070 LMS851990:LMS852070 LWO851990:LWO852070 MGK851990:MGK852070 MQG851990:MQG852070 NAC851990:NAC852070 NJY851990:NJY852070 NTU851990:NTU852070 ODQ851990:ODQ852070 ONM851990:ONM852070 OXI851990:OXI852070 PHE851990:PHE852070 PRA851990:PRA852070 QAW851990:QAW852070 QKS851990:QKS852070 QUO851990:QUO852070 REK851990:REK852070 ROG851990:ROG852070 RYC851990:RYC852070 SHY851990:SHY852070 SRU851990:SRU852070 TBQ851990:TBQ852070 TLM851990:TLM852070 TVI851990:TVI852070 UFE851990:UFE852070 UPA851990:UPA852070 UYW851990:UYW852070 VIS851990:VIS852070 VSO851990:VSO852070 WCK851990:WCK852070 WMG851990:WMG852070 WWC851990:WWC852070 U917526:U917606 JQ917526:JQ917606 TM917526:TM917606 ADI917526:ADI917606 ANE917526:ANE917606 AXA917526:AXA917606 BGW917526:BGW917606 BQS917526:BQS917606 CAO917526:CAO917606 CKK917526:CKK917606 CUG917526:CUG917606 DEC917526:DEC917606 DNY917526:DNY917606 DXU917526:DXU917606 EHQ917526:EHQ917606 ERM917526:ERM917606 FBI917526:FBI917606 FLE917526:FLE917606 FVA917526:FVA917606 GEW917526:GEW917606 GOS917526:GOS917606 GYO917526:GYO917606 HIK917526:HIK917606 HSG917526:HSG917606 ICC917526:ICC917606 ILY917526:ILY917606 IVU917526:IVU917606 JFQ917526:JFQ917606 JPM917526:JPM917606 JZI917526:JZI917606 KJE917526:KJE917606 KTA917526:KTA917606 LCW917526:LCW917606 LMS917526:LMS917606 LWO917526:LWO917606 MGK917526:MGK917606 MQG917526:MQG917606 NAC917526:NAC917606 NJY917526:NJY917606 NTU917526:NTU917606 ODQ917526:ODQ917606 ONM917526:ONM917606 OXI917526:OXI917606 PHE917526:PHE917606 PRA917526:PRA917606 QAW917526:QAW917606 QKS917526:QKS917606 QUO917526:QUO917606 REK917526:REK917606 ROG917526:ROG917606 RYC917526:RYC917606 SHY917526:SHY917606 SRU917526:SRU917606 TBQ917526:TBQ917606 TLM917526:TLM917606 TVI917526:TVI917606 UFE917526:UFE917606 UPA917526:UPA917606 UYW917526:UYW917606 VIS917526:VIS917606 VSO917526:VSO917606 WCK917526:WCK917606 WMG917526:WMG917606 WWC917526:WWC917606 U983062:U983142 JQ983062:JQ983142 TM983062:TM983142 ADI983062:ADI983142 ANE983062:ANE983142 AXA983062:AXA983142 BGW983062:BGW983142 BQS983062:BQS983142 CAO983062:CAO983142 CKK983062:CKK983142 CUG983062:CUG983142 DEC983062:DEC983142 DNY983062:DNY983142 DXU983062:DXU983142 EHQ983062:EHQ983142 ERM983062:ERM983142 FBI983062:FBI983142 FLE983062:FLE983142 FVA983062:FVA983142 GEW983062:GEW983142 GOS983062:GOS983142 GYO983062:GYO983142 HIK983062:HIK983142 HSG983062:HSG983142 ICC983062:ICC983142 ILY983062:ILY983142 IVU983062:IVU983142 JFQ983062:JFQ983142 JPM983062:JPM983142 JZI983062:JZI983142 KJE983062:KJE983142 KTA983062:KTA983142 LCW983062:LCW983142 LMS983062:LMS983142 LWO983062:LWO983142 MGK983062:MGK983142 MQG983062:MQG983142 NAC983062:NAC983142 NJY983062:NJY983142 NTU983062:NTU983142 ODQ983062:ODQ983142 ONM983062:ONM983142 OXI983062:OXI983142 PHE983062:PHE983142 PRA983062:PRA983142 QAW983062:QAW983142 QKS983062:QKS983142 QUO983062:QUO983142 REK983062:REK983142 ROG983062:ROG983142 RYC983062:RYC983142 SHY983062:SHY983142 SRU983062:SRU983142 TBQ983062:TBQ983142 TLM983062:TLM983142 TVI983062:TVI983142 UFE983062:UFE983142 UPA983062:UPA983142 UYW983062:UYW983142 VIS983062:VIS983142 VSO983062:VSO983142 WCK983062:WCK983142 WMG983062:WMG983142 WWC983062:WWC983142">
      <formula1>0</formula1>
      <formula2>1</formula2>
    </dataValidation>
  </dataValidation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tabColor rgb="FFFFFF00"/>
  </sheetPr>
  <dimension ref="B1:M101"/>
  <sheetViews>
    <sheetView workbookViewId="0"/>
  </sheetViews>
  <sheetFormatPr defaultColWidth="11.42578125" defaultRowHeight="15" x14ac:dyDescent="0.25"/>
  <cols>
    <col min="1" max="1" width="3.5703125" customWidth="1"/>
    <col min="2" max="2" width="5.42578125" customWidth="1"/>
    <col min="3" max="9" width="10.140625" customWidth="1"/>
    <col min="10" max="10" width="11.42578125" customWidth="1"/>
    <col min="11" max="12" width="10.140625" customWidth="1"/>
    <col min="257" max="257" width="3.5703125" customWidth="1"/>
    <col min="258" max="258" width="5.42578125" customWidth="1"/>
    <col min="259" max="265" width="10.140625" customWidth="1"/>
    <col min="266" max="266" width="11.42578125" customWidth="1"/>
    <col min="267" max="268" width="10.140625" customWidth="1"/>
    <col min="513" max="513" width="3.5703125" customWidth="1"/>
    <col min="514" max="514" width="5.42578125" customWidth="1"/>
    <col min="515" max="521" width="10.140625" customWidth="1"/>
    <col min="522" max="522" width="11.42578125" customWidth="1"/>
    <col min="523" max="524" width="10.140625" customWidth="1"/>
    <col min="769" max="769" width="3.5703125" customWidth="1"/>
    <col min="770" max="770" width="5.42578125" customWidth="1"/>
    <col min="771" max="777" width="10.140625" customWidth="1"/>
    <col min="778" max="778" width="11.42578125" customWidth="1"/>
    <col min="779" max="780" width="10.140625" customWidth="1"/>
    <col min="1025" max="1025" width="3.5703125" customWidth="1"/>
    <col min="1026" max="1026" width="5.42578125" customWidth="1"/>
    <col min="1027" max="1033" width="10.140625" customWidth="1"/>
    <col min="1034" max="1034" width="11.42578125" customWidth="1"/>
    <col min="1035" max="1036" width="10.140625" customWidth="1"/>
    <col min="1281" max="1281" width="3.5703125" customWidth="1"/>
    <col min="1282" max="1282" width="5.42578125" customWidth="1"/>
    <col min="1283" max="1289" width="10.140625" customWidth="1"/>
    <col min="1290" max="1290" width="11.42578125" customWidth="1"/>
    <col min="1291" max="1292" width="10.140625" customWidth="1"/>
    <col min="1537" max="1537" width="3.5703125" customWidth="1"/>
    <col min="1538" max="1538" width="5.42578125" customWidth="1"/>
    <col min="1539" max="1545" width="10.140625" customWidth="1"/>
    <col min="1546" max="1546" width="11.42578125" customWidth="1"/>
    <col min="1547" max="1548" width="10.140625" customWidth="1"/>
    <col min="1793" max="1793" width="3.5703125" customWidth="1"/>
    <col min="1794" max="1794" width="5.42578125" customWidth="1"/>
    <col min="1795" max="1801" width="10.140625" customWidth="1"/>
    <col min="1802" max="1802" width="11.42578125" customWidth="1"/>
    <col min="1803" max="1804" width="10.140625" customWidth="1"/>
    <col min="2049" max="2049" width="3.5703125" customWidth="1"/>
    <col min="2050" max="2050" width="5.42578125" customWidth="1"/>
    <col min="2051" max="2057" width="10.140625" customWidth="1"/>
    <col min="2058" max="2058" width="11.42578125" customWidth="1"/>
    <col min="2059" max="2060" width="10.140625" customWidth="1"/>
    <col min="2305" max="2305" width="3.5703125" customWidth="1"/>
    <col min="2306" max="2306" width="5.42578125" customWidth="1"/>
    <col min="2307" max="2313" width="10.140625" customWidth="1"/>
    <col min="2314" max="2314" width="11.42578125" customWidth="1"/>
    <col min="2315" max="2316" width="10.140625" customWidth="1"/>
    <col min="2561" max="2561" width="3.5703125" customWidth="1"/>
    <col min="2562" max="2562" width="5.42578125" customWidth="1"/>
    <col min="2563" max="2569" width="10.140625" customWidth="1"/>
    <col min="2570" max="2570" width="11.42578125" customWidth="1"/>
    <col min="2571" max="2572" width="10.140625" customWidth="1"/>
    <col min="2817" max="2817" width="3.5703125" customWidth="1"/>
    <col min="2818" max="2818" width="5.42578125" customWidth="1"/>
    <col min="2819" max="2825" width="10.140625" customWidth="1"/>
    <col min="2826" max="2826" width="11.42578125" customWidth="1"/>
    <col min="2827" max="2828" width="10.140625" customWidth="1"/>
    <col min="3073" max="3073" width="3.5703125" customWidth="1"/>
    <col min="3074" max="3074" width="5.42578125" customWidth="1"/>
    <col min="3075" max="3081" width="10.140625" customWidth="1"/>
    <col min="3082" max="3082" width="11.42578125" customWidth="1"/>
    <col min="3083" max="3084" width="10.140625" customWidth="1"/>
    <col min="3329" max="3329" width="3.5703125" customWidth="1"/>
    <col min="3330" max="3330" width="5.42578125" customWidth="1"/>
    <col min="3331" max="3337" width="10.140625" customWidth="1"/>
    <col min="3338" max="3338" width="11.42578125" customWidth="1"/>
    <col min="3339" max="3340" width="10.140625" customWidth="1"/>
    <col min="3585" max="3585" width="3.5703125" customWidth="1"/>
    <col min="3586" max="3586" width="5.42578125" customWidth="1"/>
    <col min="3587" max="3593" width="10.140625" customWidth="1"/>
    <col min="3594" max="3594" width="11.42578125" customWidth="1"/>
    <col min="3595" max="3596" width="10.140625" customWidth="1"/>
    <col min="3841" max="3841" width="3.5703125" customWidth="1"/>
    <col min="3842" max="3842" width="5.42578125" customWidth="1"/>
    <col min="3843" max="3849" width="10.140625" customWidth="1"/>
    <col min="3850" max="3850" width="11.42578125" customWidth="1"/>
    <col min="3851" max="3852" width="10.140625" customWidth="1"/>
    <col min="4097" max="4097" width="3.5703125" customWidth="1"/>
    <col min="4098" max="4098" width="5.42578125" customWidth="1"/>
    <col min="4099" max="4105" width="10.140625" customWidth="1"/>
    <col min="4106" max="4106" width="11.42578125" customWidth="1"/>
    <col min="4107" max="4108" width="10.140625" customWidth="1"/>
    <col min="4353" max="4353" width="3.5703125" customWidth="1"/>
    <col min="4354" max="4354" width="5.42578125" customWidth="1"/>
    <col min="4355" max="4361" width="10.140625" customWidth="1"/>
    <col min="4362" max="4362" width="11.42578125" customWidth="1"/>
    <col min="4363" max="4364" width="10.140625" customWidth="1"/>
    <col min="4609" max="4609" width="3.5703125" customWidth="1"/>
    <col min="4610" max="4610" width="5.42578125" customWidth="1"/>
    <col min="4611" max="4617" width="10.140625" customWidth="1"/>
    <col min="4618" max="4618" width="11.42578125" customWidth="1"/>
    <col min="4619" max="4620" width="10.140625" customWidth="1"/>
    <col min="4865" max="4865" width="3.5703125" customWidth="1"/>
    <col min="4866" max="4866" width="5.42578125" customWidth="1"/>
    <col min="4867" max="4873" width="10.140625" customWidth="1"/>
    <col min="4874" max="4874" width="11.42578125" customWidth="1"/>
    <col min="4875" max="4876" width="10.140625" customWidth="1"/>
    <col min="5121" max="5121" width="3.5703125" customWidth="1"/>
    <col min="5122" max="5122" width="5.42578125" customWidth="1"/>
    <col min="5123" max="5129" width="10.140625" customWidth="1"/>
    <col min="5130" max="5130" width="11.42578125" customWidth="1"/>
    <col min="5131" max="5132" width="10.140625" customWidth="1"/>
    <col min="5377" max="5377" width="3.5703125" customWidth="1"/>
    <col min="5378" max="5378" width="5.42578125" customWidth="1"/>
    <col min="5379" max="5385" width="10.140625" customWidth="1"/>
    <col min="5386" max="5386" width="11.42578125" customWidth="1"/>
    <col min="5387" max="5388" width="10.140625" customWidth="1"/>
    <col min="5633" max="5633" width="3.5703125" customWidth="1"/>
    <col min="5634" max="5634" width="5.42578125" customWidth="1"/>
    <col min="5635" max="5641" width="10.140625" customWidth="1"/>
    <col min="5642" max="5642" width="11.42578125" customWidth="1"/>
    <col min="5643" max="5644" width="10.140625" customWidth="1"/>
    <col min="5889" max="5889" width="3.5703125" customWidth="1"/>
    <col min="5890" max="5890" width="5.42578125" customWidth="1"/>
    <col min="5891" max="5897" width="10.140625" customWidth="1"/>
    <col min="5898" max="5898" width="11.42578125" customWidth="1"/>
    <col min="5899" max="5900" width="10.140625" customWidth="1"/>
    <col min="6145" max="6145" width="3.5703125" customWidth="1"/>
    <col min="6146" max="6146" width="5.42578125" customWidth="1"/>
    <col min="6147" max="6153" width="10.140625" customWidth="1"/>
    <col min="6154" max="6154" width="11.42578125" customWidth="1"/>
    <col min="6155" max="6156" width="10.140625" customWidth="1"/>
    <col min="6401" max="6401" width="3.5703125" customWidth="1"/>
    <col min="6402" max="6402" width="5.42578125" customWidth="1"/>
    <col min="6403" max="6409" width="10.140625" customWidth="1"/>
    <col min="6410" max="6410" width="11.42578125" customWidth="1"/>
    <col min="6411" max="6412" width="10.140625" customWidth="1"/>
    <col min="6657" max="6657" width="3.5703125" customWidth="1"/>
    <col min="6658" max="6658" width="5.42578125" customWidth="1"/>
    <col min="6659" max="6665" width="10.140625" customWidth="1"/>
    <col min="6666" max="6666" width="11.42578125" customWidth="1"/>
    <col min="6667" max="6668" width="10.140625" customWidth="1"/>
    <col min="6913" max="6913" width="3.5703125" customWidth="1"/>
    <col min="6914" max="6914" width="5.42578125" customWidth="1"/>
    <col min="6915" max="6921" width="10.140625" customWidth="1"/>
    <col min="6922" max="6922" width="11.42578125" customWidth="1"/>
    <col min="6923" max="6924" width="10.140625" customWidth="1"/>
    <col min="7169" max="7169" width="3.5703125" customWidth="1"/>
    <col min="7170" max="7170" width="5.42578125" customWidth="1"/>
    <col min="7171" max="7177" width="10.140625" customWidth="1"/>
    <col min="7178" max="7178" width="11.42578125" customWidth="1"/>
    <col min="7179" max="7180" width="10.140625" customWidth="1"/>
    <col min="7425" max="7425" width="3.5703125" customWidth="1"/>
    <col min="7426" max="7426" width="5.42578125" customWidth="1"/>
    <col min="7427" max="7433" width="10.140625" customWidth="1"/>
    <col min="7434" max="7434" width="11.42578125" customWidth="1"/>
    <col min="7435" max="7436" width="10.140625" customWidth="1"/>
    <col min="7681" max="7681" width="3.5703125" customWidth="1"/>
    <col min="7682" max="7682" width="5.42578125" customWidth="1"/>
    <col min="7683" max="7689" width="10.140625" customWidth="1"/>
    <col min="7690" max="7690" width="11.42578125" customWidth="1"/>
    <col min="7691" max="7692" width="10.140625" customWidth="1"/>
    <col min="7937" max="7937" width="3.5703125" customWidth="1"/>
    <col min="7938" max="7938" width="5.42578125" customWidth="1"/>
    <col min="7939" max="7945" width="10.140625" customWidth="1"/>
    <col min="7946" max="7946" width="11.42578125" customWidth="1"/>
    <col min="7947" max="7948" width="10.140625" customWidth="1"/>
    <col min="8193" max="8193" width="3.5703125" customWidth="1"/>
    <col min="8194" max="8194" width="5.42578125" customWidth="1"/>
    <col min="8195" max="8201" width="10.140625" customWidth="1"/>
    <col min="8202" max="8202" width="11.42578125" customWidth="1"/>
    <col min="8203" max="8204" width="10.140625" customWidth="1"/>
    <col min="8449" max="8449" width="3.5703125" customWidth="1"/>
    <col min="8450" max="8450" width="5.42578125" customWidth="1"/>
    <col min="8451" max="8457" width="10.140625" customWidth="1"/>
    <col min="8458" max="8458" width="11.42578125" customWidth="1"/>
    <col min="8459" max="8460" width="10.140625" customWidth="1"/>
    <col min="8705" max="8705" width="3.5703125" customWidth="1"/>
    <col min="8706" max="8706" width="5.42578125" customWidth="1"/>
    <col min="8707" max="8713" width="10.140625" customWidth="1"/>
    <col min="8714" max="8714" width="11.42578125" customWidth="1"/>
    <col min="8715" max="8716" width="10.140625" customWidth="1"/>
    <col min="8961" max="8961" width="3.5703125" customWidth="1"/>
    <col min="8962" max="8962" width="5.42578125" customWidth="1"/>
    <col min="8963" max="8969" width="10.140625" customWidth="1"/>
    <col min="8970" max="8970" width="11.42578125" customWidth="1"/>
    <col min="8971" max="8972" width="10.140625" customWidth="1"/>
    <col min="9217" max="9217" width="3.5703125" customWidth="1"/>
    <col min="9218" max="9218" width="5.42578125" customWidth="1"/>
    <col min="9219" max="9225" width="10.140625" customWidth="1"/>
    <col min="9226" max="9226" width="11.42578125" customWidth="1"/>
    <col min="9227" max="9228" width="10.140625" customWidth="1"/>
    <col min="9473" max="9473" width="3.5703125" customWidth="1"/>
    <col min="9474" max="9474" width="5.42578125" customWidth="1"/>
    <col min="9475" max="9481" width="10.140625" customWidth="1"/>
    <col min="9482" max="9482" width="11.42578125" customWidth="1"/>
    <col min="9483" max="9484" width="10.140625" customWidth="1"/>
    <col min="9729" max="9729" width="3.5703125" customWidth="1"/>
    <col min="9730" max="9730" width="5.42578125" customWidth="1"/>
    <col min="9731" max="9737" width="10.140625" customWidth="1"/>
    <col min="9738" max="9738" width="11.42578125" customWidth="1"/>
    <col min="9739" max="9740" width="10.140625" customWidth="1"/>
    <col min="9985" max="9985" width="3.5703125" customWidth="1"/>
    <col min="9986" max="9986" width="5.42578125" customWidth="1"/>
    <col min="9987" max="9993" width="10.140625" customWidth="1"/>
    <col min="9994" max="9994" width="11.42578125" customWidth="1"/>
    <col min="9995" max="9996" width="10.140625" customWidth="1"/>
    <col min="10241" max="10241" width="3.5703125" customWidth="1"/>
    <col min="10242" max="10242" width="5.42578125" customWidth="1"/>
    <col min="10243" max="10249" width="10.140625" customWidth="1"/>
    <col min="10250" max="10250" width="11.42578125" customWidth="1"/>
    <col min="10251" max="10252" width="10.140625" customWidth="1"/>
    <col min="10497" max="10497" width="3.5703125" customWidth="1"/>
    <col min="10498" max="10498" width="5.42578125" customWidth="1"/>
    <col min="10499" max="10505" width="10.140625" customWidth="1"/>
    <col min="10506" max="10506" width="11.42578125" customWidth="1"/>
    <col min="10507" max="10508" width="10.140625" customWidth="1"/>
    <col min="10753" max="10753" width="3.5703125" customWidth="1"/>
    <col min="10754" max="10754" width="5.42578125" customWidth="1"/>
    <col min="10755" max="10761" width="10.140625" customWidth="1"/>
    <col min="10762" max="10762" width="11.42578125" customWidth="1"/>
    <col min="10763" max="10764" width="10.140625" customWidth="1"/>
    <col min="11009" max="11009" width="3.5703125" customWidth="1"/>
    <col min="11010" max="11010" width="5.42578125" customWidth="1"/>
    <col min="11011" max="11017" width="10.140625" customWidth="1"/>
    <col min="11018" max="11018" width="11.42578125" customWidth="1"/>
    <col min="11019" max="11020" width="10.140625" customWidth="1"/>
    <col min="11265" max="11265" width="3.5703125" customWidth="1"/>
    <col min="11266" max="11266" width="5.42578125" customWidth="1"/>
    <col min="11267" max="11273" width="10.140625" customWidth="1"/>
    <col min="11274" max="11274" width="11.42578125" customWidth="1"/>
    <col min="11275" max="11276" width="10.140625" customWidth="1"/>
    <col min="11521" max="11521" width="3.5703125" customWidth="1"/>
    <col min="11522" max="11522" width="5.42578125" customWidth="1"/>
    <col min="11523" max="11529" width="10.140625" customWidth="1"/>
    <col min="11530" max="11530" width="11.42578125" customWidth="1"/>
    <col min="11531" max="11532" width="10.140625" customWidth="1"/>
    <col min="11777" max="11777" width="3.5703125" customWidth="1"/>
    <col min="11778" max="11778" width="5.42578125" customWidth="1"/>
    <col min="11779" max="11785" width="10.140625" customWidth="1"/>
    <col min="11786" max="11786" width="11.42578125" customWidth="1"/>
    <col min="11787" max="11788" width="10.140625" customWidth="1"/>
    <col min="12033" max="12033" width="3.5703125" customWidth="1"/>
    <col min="12034" max="12034" width="5.42578125" customWidth="1"/>
    <col min="12035" max="12041" width="10.140625" customWidth="1"/>
    <col min="12042" max="12042" width="11.42578125" customWidth="1"/>
    <col min="12043" max="12044" width="10.140625" customWidth="1"/>
    <col min="12289" max="12289" width="3.5703125" customWidth="1"/>
    <col min="12290" max="12290" width="5.42578125" customWidth="1"/>
    <col min="12291" max="12297" width="10.140625" customWidth="1"/>
    <col min="12298" max="12298" width="11.42578125" customWidth="1"/>
    <col min="12299" max="12300" width="10.140625" customWidth="1"/>
    <col min="12545" max="12545" width="3.5703125" customWidth="1"/>
    <col min="12546" max="12546" width="5.42578125" customWidth="1"/>
    <col min="12547" max="12553" width="10.140625" customWidth="1"/>
    <col min="12554" max="12554" width="11.42578125" customWidth="1"/>
    <col min="12555" max="12556" width="10.140625" customWidth="1"/>
    <col min="12801" max="12801" width="3.5703125" customWidth="1"/>
    <col min="12802" max="12802" width="5.42578125" customWidth="1"/>
    <col min="12803" max="12809" width="10.140625" customWidth="1"/>
    <col min="12810" max="12810" width="11.42578125" customWidth="1"/>
    <col min="12811" max="12812" width="10.140625" customWidth="1"/>
    <col min="13057" max="13057" width="3.5703125" customWidth="1"/>
    <col min="13058" max="13058" width="5.42578125" customWidth="1"/>
    <col min="13059" max="13065" width="10.140625" customWidth="1"/>
    <col min="13066" max="13066" width="11.42578125" customWidth="1"/>
    <col min="13067" max="13068" width="10.140625" customWidth="1"/>
    <col min="13313" max="13313" width="3.5703125" customWidth="1"/>
    <col min="13314" max="13314" width="5.42578125" customWidth="1"/>
    <col min="13315" max="13321" width="10.140625" customWidth="1"/>
    <col min="13322" max="13322" width="11.42578125" customWidth="1"/>
    <col min="13323" max="13324" width="10.140625" customWidth="1"/>
    <col min="13569" max="13569" width="3.5703125" customWidth="1"/>
    <col min="13570" max="13570" width="5.42578125" customWidth="1"/>
    <col min="13571" max="13577" width="10.140625" customWidth="1"/>
    <col min="13578" max="13578" width="11.42578125" customWidth="1"/>
    <col min="13579" max="13580" width="10.140625" customWidth="1"/>
    <col min="13825" max="13825" width="3.5703125" customWidth="1"/>
    <col min="13826" max="13826" width="5.42578125" customWidth="1"/>
    <col min="13827" max="13833" width="10.140625" customWidth="1"/>
    <col min="13834" max="13834" width="11.42578125" customWidth="1"/>
    <col min="13835" max="13836" width="10.140625" customWidth="1"/>
    <col min="14081" max="14081" width="3.5703125" customWidth="1"/>
    <col min="14082" max="14082" width="5.42578125" customWidth="1"/>
    <col min="14083" max="14089" width="10.140625" customWidth="1"/>
    <col min="14090" max="14090" width="11.42578125" customWidth="1"/>
    <col min="14091" max="14092" width="10.140625" customWidth="1"/>
    <col min="14337" max="14337" width="3.5703125" customWidth="1"/>
    <col min="14338" max="14338" width="5.42578125" customWidth="1"/>
    <col min="14339" max="14345" width="10.140625" customWidth="1"/>
    <col min="14346" max="14346" width="11.42578125" customWidth="1"/>
    <col min="14347" max="14348" width="10.140625" customWidth="1"/>
    <col min="14593" max="14593" width="3.5703125" customWidth="1"/>
    <col min="14594" max="14594" width="5.42578125" customWidth="1"/>
    <col min="14595" max="14601" width="10.140625" customWidth="1"/>
    <col min="14602" max="14602" width="11.42578125" customWidth="1"/>
    <col min="14603" max="14604" width="10.140625" customWidth="1"/>
    <col min="14849" max="14849" width="3.5703125" customWidth="1"/>
    <col min="14850" max="14850" width="5.42578125" customWidth="1"/>
    <col min="14851" max="14857" width="10.140625" customWidth="1"/>
    <col min="14858" max="14858" width="11.42578125" customWidth="1"/>
    <col min="14859" max="14860" width="10.140625" customWidth="1"/>
    <col min="15105" max="15105" width="3.5703125" customWidth="1"/>
    <col min="15106" max="15106" width="5.42578125" customWidth="1"/>
    <col min="15107" max="15113" width="10.140625" customWidth="1"/>
    <col min="15114" max="15114" width="11.42578125" customWidth="1"/>
    <col min="15115" max="15116" width="10.140625" customWidth="1"/>
    <col min="15361" max="15361" width="3.5703125" customWidth="1"/>
    <col min="15362" max="15362" width="5.42578125" customWidth="1"/>
    <col min="15363" max="15369" width="10.140625" customWidth="1"/>
    <col min="15370" max="15370" width="11.42578125" customWidth="1"/>
    <col min="15371" max="15372" width="10.140625" customWidth="1"/>
    <col min="15617" max="15617" width="3.5703125" customWidth="1"/>
    <col min="15618" max="15618" width="5.42578125" customWidth="1"/>
    <col min="15619" max="15625" width="10.140625" customWidth="1"/>
    <col min="15626" max="15626" width="11.42578125" customWidth="1"/>
    <col min="15627" max="15628" width="10.140625" customWidth="1"/>
    <col min="15873" max="15873" width="3.5703125" customWidth="1"/>
    <col min="15874" max="15874" width="5.42578125" customWidth="1"/>
    <col min="15875" max="15881" width="10.140625" customWidth="1"/>
    <col min="15882" max="15882" width="11.42578125" customWidth="1"/>
    <col min="15883" max="15884" width="10.140625" customWidth="1"/>
    <col min="16129" max="16129" width="3.5703125" customWidth="1"/>
    <col min="16130" max="16130" width="5.42578125" customWidth="1"/>
    <col min="16131" max="16137" width="10.140625" customWidth="1"/>
    <col min="16138" max="16138" width="11.42578125" customWidth="1"/>
    <col min="16139" max="16140" width="10.140625" customWidth="1"/>
  </cols>
  <sheetData>
    <row r="1" spans="2:13" ht="15.75" thickBot="1" x14ac:dyDescent="0.3"/>
    <row r="2" spans="2:13" ht="16.5" thickBot="1" x14ac:dyDescent="0.3">
      <c r="C2" s="126" t="s">
        <v>97</v>
      </c>
      <c r="D2" s="126"/>
      <c r="F2" s="7" t="s">
        <v>4</v>
      </c>
      <c r="G2" s="715" t="str">
        <f>country</f>
        <v>Czech Republic</v>
      </c>
      <c r="H2" s="716"/>
      <c r="I2" s="716"/>
      <c r="J2" s="716"/>
      <c r="K2" s="716"/>
      <c r="L2" s="717"/>
    </row>
    <row r="3" spans="2:13" x14ac:dyDescent="0.25">
      <c r="C3" s="7"/>
      <c r="D3" s="7"/>
      <c r="E3" s="214"/>
    </row>
    <row r="4" spans="2:13" s="215" customFormat="1" ht="12.75" x14ac:dyDescent="0.2">
      <c r="C4" s="214" t="s">
        <v>98</v>
      </c>
      <c r="D4" s="214"/>
      <c r="E4" s="214"/>
    </row>
    <row r="5" spans="2:13" s="215" customFormat="1" ht="12.75" x14ac:dyDescent="0.2">
      <c r="C5" s="214" t="s">
        <v>99</v>
      </c>
      <c r="D5" s="214"/>
      <c r="E5" s="214"/>
    </row>
    <row r="7" spans="2:13" ht="15.75" thickBot="1" x14ac:dyDescent="0.3"/>
    <row r="8" spans="2:13" ht="15.75" thickBot="1" x14ac:dyDescent="0.3">
      <c r="C8" s="701" t="s">
        <v>100</v>
      </c>
      <c r="D8" s="702"/>
      <c r="E8" s="702"/>
      <c r="F8" s="702"/>
      <c r="G8" s="702"/>
      <c r="H8" s="702"/>
      <c r="I8" s="702"/>
      <c r="J8" s="702"/>
      <c r="K8" s="702"/>
      <c r="L8" s="703"/>
    </row>
    <row r="9" spans="2:13" s="10" customFormat="1" ht="25.5" x14ac:dyDescent="0.2">
      <c r="B9" s="183" t="s">
        <v>66</v>
      </c>
      <c r="C9" s="216" t="s">
        <v>81</v>
      </c>
      <c r="D9" s="184" t="s">
        <v>22</v>
      </c>
      <c r="E9" s="185" t="s">
        <v>23</v>
      </c>
      <c r="F9" s="185" t="s">
        <v>82</v>
      </c>
      <c r="G9" s="185" t="s">
        <v>83</v>
      </c>
      <c r="H9" s="185" t="s">
        <v>84</v>
      </c>
      <c r="I9" s="185" t="s">
        <v>101</v>
      </c>
      <c r="J9" s="185" t="s">
        <v>102</v>
      </c>
      <c r="K9" s="186" t="s">
        <v>103</v>
      </c>
      <c r="L9" s="217" t="s">
        <v>50</v>
      </c>
    </row>
    <row r="10" spans="2:13" s="139" customFormat="1" ht="15.75" thickBot="1" x14ac:dyDescent="0.3">
      <c r="B10" s="188"/>
      <c r="C10" s="158" t="s">
        <v>93</v>
      </c>
      <c r="D10" s="191" t="s">
        <v>93</v>
      </c>
      <c r="E10" s="159" t="s">
        <v>93</v>
      </c>
      <c r="F10" s="159" t="s">
        <v>93</v>
      </c>
      <c r="G10" s="159" t="s">
        <v>93</v>
      </c>
      <c r="H10" s="159" t="s">
        <v>93</v>
      </c>
      <c r="I10" s="159" t="s">
        <v>93</v>
      </c>
      <c r="J10" s="159" t="s">
        <v>93</v>
      </c>
      <c r="K10" s="159" t="s">
        <v>93</v>
      </c>
      <c r="L10" s="218" t="s">
        <v>93</v>
      </c>
    </row>
    <row r="11" spans="2:13" x14ac:dyDescent="0.25">
      <c r="B11" s="219">
        <f>year</f>
        <v>1950</v>
      </c>
      <c r="C11" s="220">
        <f>Activity!$E12*Activity!$F12*Activity!G12</f>
        <v>1029.42</v>
      </c>
      <c r="D11" s="221">
        <f>Activity!$E12*Activity!$F12*Activity!H12</f>
        <v>0</v>
      </c>
      <c r="E11" s="221">
        <f>Activity!$E12*Activity!$F12*Activity!I12</f>
        <v>745.56</v>
      </c>
      <c r="F11" s="221">
        <f>Activity!$E12*Activity!$F12*Activity!J12</f>
        <v>256.5</v>
      </c>
      <c r="G11" s="221">
        <f>Activity!$E12*Activity!$F12*Activity!K12</f>
        <v>160.74</v>
      </c>
      <c r="H11" s="221">
        <f>Activity!$E12*Activity!$F12*Activity!L12</f>
        <v>0</v>
      </c>
      <c r="I11" s="221">
        <v>0</v>
      </c>
      <c r="J11" s="222">
        <f>Activity!E12*Activity!F12</f>
        <v>3420</v>
      </c>
      <c r="K11" s="221">
        <f>Activity!$E12*Activity!$F12*Activity!M12</f>
        <v>1227.78</v>
      </c>
      <c r="L11" s="223">
        <f>Activity!V12</f>
        <v>0</v>
      </c>
      <c r="M11" s="224"/>
    </row>
    <row r="12" spans="2:13" x14ac:dyDescent="0.25">
      <c r="B12" s="225">
        <f>B11+1</f>
        <v>1951</v>
      </c>
      <c r="C12" s="226">
        <f>Activity!$E13*Activity!$F13*Activity!G13</f>
        <v>1029.42</v>
      </c>
      <c r="D12" s="227">
        <f>Activity!$E13*Activity!$F13*Activity!H13</f>
        <v>0</v>
      </c>
      <c r="E12" s="227">
        <f>Activity!$E13*Activity!$F13*Activity!I13</f>
        <v>745.56</v>
      </c>
      <c r="F12" s="227">
        <f>Activity!$E13*Activity!$F13*Activity!J13</f>
        <v>256.5</v>
      </c>
      <c r="G12" s="227">
        <f>Activity!$E13*Activity!$F13*Activity!K13</f>
        <v>160.74</v>
      </c>
      <c r="H12" s="228">
        <f>Activity!$E13*Activity!$F13*Activity!L13</f>
        <v>0</v>
      </c>
      <c r="I12" s="228">
        <v>0</v>
      </c>
      <c r="J12" s="227">
        <f>Activity!E13*Activity!F13</f>
        <v>3420</v>
      </c>
      <c r="K12" s="227">
        <f>Activity!$E13*Activity!$F13*Activity!M13</f>
        <v>1227.78</v>
      </c>
      <c r="L12" s="229">
        <f>Activity!V13</f>
        <v>0</v>
      </c>
    </row>
    <row r="13" spans="2:13" x14ac:dyDescent="0.25">
      <c r="B13" s="203">
        <f t="shared" ref="B13:B76" si="0">B12+1</f>
        <v>1952</v>
      </c>
      <c r="C13" s="226">
        <f>Activity!$E14*Activity!$F14*Activity!G14</f>
        <v>1029.42</v>
      </c>
      <c r="D13" s="227">
        <f>Activity!$E14*Activity!$F14*Activity!H14</f>
        <v>0</v>
      </c>
      <c r="E13" s="227">
        <f>Activity!$E14*Activity!$F14*Activity!I14</f>
        <v>745.56</v>
      </c>
      <c r="F13" s="227">
        <f>Activity!$E14*Activity!$F14*Activity!J14</f>
        <v>256.5</v>
      </c>
      <c r="G13" s="227">
        <f>Activity!$E14*Activity!$F14*Activity!K14</f>
        <v>160.74</v>
      </c>
      <c r="H13" s="228">
        <f>Activity!$E14*Activity!$F14*Activity!L14</f>
        <v>0</v>
      </c>
      <c r="I13" s="228">
        <v>0</v>
      </c>
      <c r="J13" s="227">
        <f>Activity!E14*Activity!F14</f>
        <v>3420</v>
      </c>
      <c r="K13" s="227">
        <f>Activity!$E14*Activity!$F14*Activity!M14</f>
        <v>1227.78</v>
      </c>
      <c r="L13" s="229">
        <f>Activity!V14</f>
        <v>0</v>
      </c>
    </row>
    <row r="14" spans="2:13" x14ac:dyDescent="0.25">
      <c r="B14" s="203">
        <f t="shared" si="0"/>
        <v>1953</v>
      </c>
      <c r="C14" s="226">
        <f>Activity!$E15*Activity!$F15*Activity!G15</f>
        <v>1029.42</v>
      </c>
      <c r="D14" s="227">
        <f>Activity!$E15*Activity!$F15*Activity!H15</f>
        <v>0</v>
      </c>
      <c r="E14" s="227">
        <f>Activity!$E15*Activity!$F15*Activity!I15</f>
        <v>745.56</v>
      </c>
      <c r="F14" s="227">
        <f>Activity!$E15*Activity!$F15*Activity!J15</f>
        <v>256.5</v>
      </c>
      <c r="G14" s="227">
        <f>Activity!$E15*Activity!$F15*Activity!K15</f>
        <v>160.74</v>
      </c>
      <c r="H14" s="228">
        <f>Activity!$E15*Activity!$F15*Activity!L15</f>
        <v>0</v>
      </c>
      <c r="I14" s="228">
        <v>0</v>
      </c>
      <c r="J14" s="227">
        <f>Activity!E15*Activity!F15</f>
        <v>3420</v>
      </c>
      <c r="K14" s="227">
        <f>Activity!$E15*Activity!$F15*Activity!M15</f>
        <v>1227.78</v>
      </c>
      <c r="L14" s="229">
        <f>Activity!V15</f>
        <v>0</v>
      </c>
    </row>
    <row r="15" spans="2:13" x14ac:dyDescent="0.25">
      <c r="B15" s="203">
        <f t="shared" si="0"/>
        <v>1954</v>
      </c>
      <c r="C15" s="226">
        <f>Activity!$E16*Activity!$F16*Activity!G16</f>
        <v>1029.42</v>
      </c>
      <c r="D15" s="227">
        <f>Activity!$E16*Activity!$F16*Activity!H16</f>
        <v>0</v>
      </c>
      <c r="E15" s="227">
        <f>Activity!$E16*Activity!$F16*Activity!I16</f>
        <v>745.56</v>
      </c>
      <c r="F15" s="227">
        <f>Activity!$E16*Activity!$F16*Activity!J16</f>
        <v>256.5</v>
      </c>
      <c r="G15" s="227">
        <f>Activity!$E16*Activity!$F16*Activity!K16</f>
        <v>160.74</v>
      </c>
      <c r="H15" s="228">
        <f>Activity!$E16*Activity!$F16*Activity!L16</f>
        <v>0</v>
      </c>
      <c r="I15" s="228">
        <v>0</v>
      </c>
      <c r="J15" s="227">
        <f>Activity!E16*Activity!F16</f>
        <v>3420</v>
      </c>
      <c r="K15" s="227">
        <f>Activity!$E16*Activity!$F16*Activity!M16</f>
        <v>1227.78</v>
      </c>
      <c r="L15" s="229">
        <f>Activity!V16</f>
        <v>0</v>
      </c>
    </row>
    <row r="16" spans="2:13" x14ac:dyDescent="0.25">
      <c r="B16" s="203">
        <f t="shared" si="0"/>
        <v>1955</v>
      </c>
      <c r="C16" s="226">
        <f>Activity!$E17*Activity!$F17*Activity!G17</f>
        <v>1029.42</v>
      </c>
      <c r="D16" s="227">
        <f>Activity!$E17*Activity!$F17*Activity!H17</f>
        <v>0</v>
      </c>
      <c r="E16" s="227">
        <f>Activity!$E17*Activity!$F17*Activity!I17</f>
        <v>745.56</v>
      </c>
      <c r="F16" s="227">
        <f>Activity!$E17*Activity!$F17*Activity!J17</f>
        <v>256.5</v>
      </c>
      <c r="G16" s="227">
        <f>Activity!$E17*Activity!$F17*Activity!K17</f>
        <v>160.74</v>
      </c>
      <c r="H16" s="228">
        <f>Activity!$E17*Activity!$F17*Activity!L17</f>
        <v>0</v>
      </c>
      <c r="I16" s="228">
        <v>0</v>
      </c>
      <c r="J16" s="227">
        <f>Activity!E17*Activity!F17</f>
        <v>3420</v>
      </c>
      <c r="K16" s="227">
        <f>Activity!$E17*Activity!$F17*Activity!M17</f>
        <v>1227.78</v>
      </c>
      <c r="L16" s="229">
        <f>Activity!V17</f>
        <v>0</v>
      </c>
    </row>
    <row r="17" spans="2:12" x14ac:dyDescent="0.25">
      <c r="B17" s="203">
        <f t="shared" si="0"/>
        <v>1956</v>
      </c>
      <c r="C17" s="226">
        <f>Activity!$E18*Activity!$F18*Activity!G18</f>
        <v>1029.42</v>
      </c>
      <c r="D17" s="227">
        <f>Activity!$E18*Activity!$F18*Activity!H18</f>
        <v>0</v>
      </c>
      <c r="E17" s="227">
        <f>Activity!$E18*Activity!$F18*Activity!I18</f>
        <v>745.56</v>
      </c>
      <c r="F17" s="227">
        <f>Activity!$E18*Activity!$F18*Activity!J18</f>
        <v>256.5</v>
      </c>
      <c r="G17" s="227">
        <f>Activity!$E18*Activity!$F18*Activity!K18</f>
        <v>160.74</v>
      </c>
      <c r="H17" s="228">
        <f>Activity!$E18*Activity!$F18*Activity!L18</f>
        <v>0</v>
      </c>
      <c r="I17" s="228">
        <v>0</v>
      </c>
      <c r="J17" s="227">
        <f>Activity!E18*Activity!F18</f>
        <v>3420</v>
      </c>
      <c r="K17" s="227">
        <f>Activity!$E18*Activity!$F18*Activity!M18</f>
        <v>1227.78</v>
      </c>
      <c r="L17" s="229">
        <f>Activity!V18</f>
        <v>0</v>
      </c>
    </row>
    <row r="18" spans="2:12" x14ac:dyDescent="0.25">
      <c r="B18" s="203">
        <f t="shared" si="0"/>
        <v>1957</v>
      </c>
      <c r="C18" s="226">
        <f>Activity!$E19*Activity!$F19*Activity!G19</f>
        <v>1029.42</v>
      </c>
      <c r="D18" s="227">
        <f>Activity!$E19*Activity!$F19*Activity!H19</f>
        <v>0</v>
      </c>
      <c r="E18" s="227">
        <f>Activity!$E19*Activity!$F19*Activity!I19</f>
        <v>745.56</v>
      </c>
      <c r="F18" s="227">
        <f>Activity!$E19*Activity!$F19*Activity!J19</f>
        <v>256.5</v>
      </c>
      <c r="G18" s="227">
        <f>Activity!$E19*Activity!$F19*Activity!K19</f>
        <v>160.74</v>
      </c>
      <c r="H18" s="228">
        <f>Activity!$E19*Activity!$F19*Activity!L19</f>
        <v>0</v>
      </c>
      <c r="I18" s="228">
        <v>0</v>
      </c>
      <c r="J18" s="227">
        <f>Activity!E19*Activity!F19</f>
        <v>3420</v>
      </c>
      <c r="K18" s="227">
        <f>Activity!$E19*Activity!$F19*Activity!M19</f>
        <v>1227.78</v>
      </c>
      <c r="L18" s="229">
        <f>Activity!V19</f>
        <v>0</v>
      </c>
    </row>
    <row r="19" spans="2:12" x14ac:dyDescent="0.25">
      <c r="B19" s="203">
        <f t="shared" si="0"/>
        <v>1958</v>
      </c>
      <c r="C19" s="226">
        <f>Activity!$E20*Activity!$F20*Activity!G20</f>
        <v>1029.42</v>
      </c>
      <c r="D19" s="227">
        <f>Activity!$E20*Activity!$F20*Activity!H20</f>
        <v>0</v>
      </c>
      <c r="E19" s="227">
        <f>Activity!$E20*Activity!$F20*Activity!I20</f>
        <v>745.56</v>
      </c>
      <c r="F19" s="227">
        <f>Activity!$E20*Activity!$F20*Activity!J20</f>
        <v>256.5</v>
      </c>
      <c r="G19" s="227">
        <f>Activity!$E20*Activity!$F20*Activity!K20</f>
        <v>160.74</v>
      </c>
      <c r="H19" s="228">
        <f>Activity!$E20*Activity!$F20*Activity!L20</f>
        <v>0</v>
      </c>
      <c r="I19" s="228">
        <v>0</v>
      </c>
      <c r="J19" s="227">
        <f>Activity!E20*Activity!F20</f>
        <v>3420</v>
      </c>
      <c r="K19" s="227">
        <f>Activity!$E20*Activity!$F20*Activity!M20</f>
        <v>1227.78</v>
      </c>
      <c r="L19" s="229">
        <f>Activity!V20</f>
        <v>0</v>
      </c>
    </row>
    <row r="20" spans="2:12" x14ac:dyDescent="0.25">
      <c r="B20" s="203">
        <f t="shared" si="0"/>
        <v>1959</v>
      </c>
      <c r="C20" s="226">
        <f>Activity!$E21*Activity!$F21*Activity!G21</f>
        <v>1029.42</v>
      </c>
      <c r="D20" s="227">
        <f>Activity!$E21*Activity!$F21*Activity!H21</f>
        <v>0</v>
      </c>
      <c r="E20" s="227">
        <f>Activity!$E21*Activity!$F21*Activity!I21</f>
        <v>745.56</v>
      </c>
      <c r="F20" s="227">
        <f>Activity!$E21*Activity!$F21*Activity!J21</f>
        <v>256.5</v>
      </c>
      <c r="G20" s="227">
        <f>Activity!$E21*Activity!$F21*Activity!K21</f>
        <v>160.74</v>
      </c>
      <c r="H20" s="228">
        <f>Activity!$E21*Activity!$F21*Activity!L21</f>
        <v>0</v>
      </c>
      <c r="I20" s="228">
        <v>0</v>
      </c>
      <c r="J20" s="227">
        <f>Activity!E21*Activity!F21</f>
        <v>3420</v>
      </c>
      <c r="K20" s="227">
        <f>Activity!$E21*Activity!$F21*Activity!M21</f>
        <v>1227.78</v>
      </c>
      <c r="L20" s="229">
        <f>Activity!V21</f>
        <v>0</v>
      </c>
    </row>
    <row r="21" spans="2:12" x14ac:dyDescent="0.25">
      <c r="B21" s="203">
        <f t="shared" si="0"/>
        <v>1960</v>
      </c>
      <c r="C21" s="226">
        <f>Activity!$E22*Activity!$F22*Activity!G22</f>
        <v>1029.42</v>
      </c>
      <c r="D21" s="227">
        <f>Activity!$E22*Activity!$F22*Activity!H22</f>
        <v>0</v>
      </c>
      <c r="E21" s="227">
        <f>Activity!$E22*Activity!$F22*Activity!I22</f>
        <v>745.56</v>
      </c>
      <c r="F21" s="227">
        <f>Activity!$E22*Activity!$F22*Activity!J22</f>
        <v>256.5</v>
      </c>
      <c r="G21" s="227">
        <f>Activity!$E22*Activity!$F22*Activity!K22</f>
        <v>160.74</v>
      </c>
      <c r="H21" s="228">
        <f>Activity!$E22*Activity!$F22*Activity!L22</f>
        <v>0</v>
      </c>
      <c r="I21" s="228">
        <v>0</v>
      </c>
      <c r="J21" s="227">
        <f>Activity!E22*Activity!F22</f>
        <v>3420</v>
      </c>
      <c r="K21" s="227">
        <f>Activity!$E22*Activity!$F22*Activity!M22</f>
        <v>1227.78</v>
      </c>
      <c r="L21" s="229">
        <f>Activity!V22</f>
        <v>0</v>
      </c>
    </row>
    <row r="22" spans="2:12" x14ac:dyDescent="0.25">
      <c r="B22" s="203">
        <f t="shared" si="0"/>
        <v>1961</v>
      </c>
      <c r="C22" s="226">
        <f>Activity!$E23*Activity!$F23*Activity!G23</f>
        <v>1029.42</v>
      </c>
      <c r="D22" s="227">
        <f>Activity!$E23*Activity!$F23*Activity!H23</f>
        <v>0</v>
      </c>
      <c r="E22" s="227">
        <f>Activity!$E23*Activity!$F23*Activity!I23</f>
        <v>745.56</v>
      </c>
      <c r="F22" s="227">
        <f>Activity!$E23*Activity!$F23*Activity!J23</f>
        <v>256.5</v>
      </c>
      <c r="G22" s="227">
        <f>Activity!$E23*Activity!$F23*Activity!K23</f>
        <v>160.74</v>
      </c>
      <c r="H22" s="228">
        <f>Activity!$E23*Activity!$F23*Activity!L23</f>
        <v>0</v>
      </c>
      <c r="I22" s="228">
        <v>0</v>
      </c>
      <c r="J22" s="227">
        <f>Activity!E23*Activity!F23</f>
        <v>3420</v>
      </c>
      <c r="K22" s="227">
        <f>Activity!$E23*Activity!$F23*Activity!M23</f>
        <v>1227.78</v>
      </c>
      <c r="L22" s="229">
        <f>Activity!V23</f>
        <v>0</v>
      </c>
    </row>
    <row r="23" spans="2:12" x14ac:dyDescent="0.25">
      <c r="B23" s="203">
        <f t="shared" si="0"/>
        <v>1962</v>
      </c>
      <c r="C23" s="226">
        <f>Activity!$E24*Activity!$F24*Activity!G24</f>
        <v>1029.42</v>
      </c>
      <c r="D23" s="227">
        <f>Activity!$E24*Activity!$F24*Activity!H24</f>
        <v>0</v>
      </c>
      <c r="E23" s="227">
        <f>Activity!$E24*Activity!$F24*Activity!I24</f>
        <v>745.56</v>
      </c>
      <c r="F23" s="227">
        <f>Activity!$E24*Activity!$F24*Activity!J24</f>
        <v>256.5</v>
      </c>
      <c r="G23" s="227">
        <f>Activity!$E24*Activity!$F24*Activity!K24</f>
        <v>160.74</v>
      </c>
      <c r="H23" s="228">
        <f>Activity!$E24*Activity!$F24*Activity!L24</f>
        <v>0</v>
      </c>
      <c r="I23" s="228">
        <v>0</v>
      </c>
      <c r="J23" s="227">
        <f>Activity!E24*Activity!F24</f>
        <v>3420</v>
      </c>
      <c r="K23" s="227">
        <f>Activity!$E24*Activity!$F24*Activity!M24</f>
        <v>1227.78</v>
      </c>
      <c r="L23" s="229">
        <f>Activity!V24</f>
        <v>0</v>
      </c>
    </row>
    <row r="24" spans="2:12" x14ac:dyDescent="0.25">
      <c r="B24" s="203">
        <f t="shared" si="0"/>
        <v>1963</v>
      </c>
      <c r="C24" s="226">
        <f>Activity!$E25*Activity!$F25*Activity!G25</f>
        <v>1029.42</v>
      </c>
      <c r="D24" s="227">
        <f>Activity!$E25*Activity!$F25*Activity!H25</f>
        <v>0</v>
      </c>
      <c r="E24" s="227">
        <f>Activity!$E25*Activity!$F25*Activity!I25</f>
        <v>745.56</v>
      </c>
      <c r="F24" s="227">
        <f>Activity!$E25*Activity!$F25*Activity!J25</f>
        <v>256.5</v>
      </c>
      <c r="G24" s="227">
        <f>Activity!$E25*Activity!$F25*Activity!K25</f>
        <v>160.74</v>
      </c>
      <c r="H24" s="228">
        <f>Activity!$E25*Activity!$F25*Activity!L25</f>
        <v>0</v>
      </c>
      <c r="I24" s="228">
        <v>0</v>
      </c>
      <c r="J24" s="227">
        <f>Activity!E25*Activity!F25</f>
        <v>3420</v>
      </c>
      <c r="K24" s="227">
        <f>Activity!$E25*Activity!$F25*Activity!M25</f>
        <v>1227.78</v>
      </c>
      <c r="L24" s="229">
        <f>Activity!V25</f>
        <v>0</v>
      </c>
    </row>
    <row r="25" spans="2:12" x14ac:dyDescent="0.25">
      <c r="B25" s="203">
        <f t="shared" si="0"/>
        <v>1964</v>
      </c>
      <c r="C25" s="226">
        <f>Activity!$E26*Activity!$F26*Activity!G26</f>
        <v>1029.42</v>
      </c>
      <c r="D25" s="227">
        <f>Activity!$E26*Activity!$F26*Activity!H26</f>
        <v>0</v>
      </c>
      <c r="E25" s="227">
        <f>Activity!$E26*Activity!$F26*Activity!I26</f>
        <v>745.56</v>
      </c>
      <c r="F25" s="227">
        <f>Activity!$E26*Activity!$F26*Activity!J26</f>
        <v>256.5</v>
      </c>
      <c r="G25" s="227">
        <f>Activity!$E26*Activity!$F26*Activity!K26</f>
        <v>160.74</v>
      </c>
      <c r="H25" s="228">
        <f>Activity!$E26*Activity!$F26*Activity!L26</f>
        <v>0</v>
      </c>
      <c r="I25" s="228">
        <v>0</v>
      </c>
      <c r="J25" s="227">
        <f>Activity!E26*Activity!F26</f>
        <v>3420</v>
      </c>
      <c r="K25" s="227">
        <f>Activity!$E26*Activity!$F26*Activity!M26</f>
        <v>1227.78</v>
      </c>
      <c r="L25" s="229">
        <f>Activity!V26</f>
        <v>0</v>
      </c>
    </row>
    <row r="26" spans="2:12" x14ac:dyDescent="0.25">
      <c r="B26" s="203">
        <f t="shared" si="0"/>
        <v>1965</v>
      </c>
      <c r="C26" s="226">
        <f>Activity!$E27*Activity!$F27*Activity!G27</f>
        <v>1029.42</v>
      </c>
      <c r="D26" s="227">
        <f>Activity!$E27*Activity!$F27*Activity!H27</f>
        <v>0</v>
      </c>
      <c r="E26" s="227">
        <f>Activity!$E27*Activity!$F27*Activity!I27</f>
        <v>745.56</v>
      </c>
      <c r="F26" s="227">
        <f>Activity!$E27*Activity!$F27*Activity!J27</f>
        <v>256.5</v>
      </c>
      <c r="G26" s="227">
        <f>Activity!$E27*Activity!$F27*Activity!K27</f>
        <v>160.74</v>
      </c>
      <c r="H26" s="228">
        <f>Activity!$E27*Activity!$F27*Activity!L27</f>
        <v>0</v>
      </c>
      <c r="I26" s="228">
        <v>0</v>
      </c>
      <c r="J26" s="227">
        <f>Activity!E27*Activity!F27</f>
        <v>3420</v>
      </c>
      <c r="K26" s="227">
        <f>Activity!$E27*Activity!$F27*Activity!M27</f>
        <v>1227.78</v>
      </c>
      <c r="L26" s="229">
        <f>Activity!V27</f>
        <v>0</v>
      </c>
    </row>
    <row r="27" spans="2:12" x14ac:dyDescent="0.25">
      <c r="B27" s="203">
        <f t="shared" si="0"/>
        <v>1966</v>
      </c>
      <c r="C27" s="226">
        <f>Activity!$E28*Activity!$F28*Activity!G28</f>
        <v>1029.42</v>
      </c>
      <c r="D27" s="227">
        <f>Activity!$E28*Activity!$F28*Activity!H28</f>
        <v>0</v>
      </c>
      <c r="E27" s="227">
        <f>Activity!$E28*Activity!$F28*Activity!I28</f>
        <v>745.56</v>
      </c>
      <c r="F27" s="227">
        <f>Activity!$E28*Activity!$F28*Activity!J28</f>
        <v>256.5</v>
      </c>
      <c r="G27" s="227">
        <f>Activity!$E28*Activity!$F28*Activity!K28</f>
        <v>160.74</v>
      </c>
      <c r="H27" s="228">
        <f>Activity!$E28*Activity!$F28*Activity!L28</f>
        <v>0</v>
      </c>
      <c r="I27" s="228">
        <v>0</v>
      </c>
      <c r="J27" s="227">
        <f>Activity!E28*Activity!F28</f>
        <v>3420</v>
      </c>
      <c r="K27" s="227">
        <f>Activity!$E28*Activity!$F28*Activity!M28</f>
        <v>1227.78</v>
      </c>
      <c r="L27" s="229">
        <f>Activity!V28</f>
        <v>0</v>
      </c>
    </row>
    <row r="28" spans="2:12" x14ac:dyDescent="0.25">
      <c r="B28" s="203">
        <f t="shared" si="0"/>
        <v>1967</v>
      </c>
      <c r="C28" s="226">
        <f>Activity!$E29*Activity!$F29*Activity!G29</f>
        <v>1029.42</v>
      </c>
      <c r="D28" s="227">
        <f>Activity!$E29*Activity!$F29*Activity!H29</f>
        <v>0</v>
      </c>
      <c r="E28" s="227">
        <f>Activity!$E29*Activity!$F29*Activity!I29</f>
        <v>745.56</v>
      </c>
      <c r="F28" s="227">
        <f>Activity!$E29*Activity!$F29*Activity!J29</f>
        <v>256.5</v>
      </c>
      <c r="G28" s="227">
        <f>Activity!$E29*Activity!$F29*Activity!K29</f>
        <v>160.74</v>
      </c>
      <c r="H28" s="228">
        <f>Activity!$E29*Activity!$F29*Activity!L29</f>
        <v>0</v>
      </c>
      <c r="I28" s="228">
        <v>0</v>
      </c>
      <c r="J28" s="227">
        <f>Activity!E29*Activity!F29</f>
        <v>3420</v>
      </c>
      <c r="K28" s="227">
        <f>Activity!$E29*Activity!$F29*Activity!M29</f>
        <v>1227.78</v>
      </c>
      <c r="L28" s="229">
        <f>Activity!V29</f>
        <v>0</v>
      </c>
    </row>
    <row r="29" spans="2:12" x14ac:dyDescent="0.25">
      <c r="B29" s="203">
        <f t="shared" si="0"/>
        <v>1968</v>
      </c>
      <c r="C29" s="226">
        <f>Activity!$E30*Activity!$F30*Activity!G30</f>
        <v>1029.42</v>
      </c>
      <c r="D29" s="227">
        <f>Activity!$E30*Activity!$F30*Activity!H30</f>
        <v>0</v>
      </c>
      <c r="E29" s="227">
        <f>Activity!$E30*Activity!$F30*Activity!I30</f>
        <v>745.56</v>
      </c>
      <c r="F29" s="227">
        <f>Activity!$E30*Activity!$F30*Activity!J30</f>
        <v>256.5</v>
      </c>
      <c r="G29" s="227">
        <f>Activity!$E30*Activity!$F30*Activity!K30</f>
        <v>160.74</v>
      </c>
      <c r="H29" s="228">
        <f>Activity!$E30*Activity!$F30*Activity!L30</f>
        <v>0</v>
      </c>
      <c r="I29" s="228">
        <v>0</v>
      </c>
      <c r="J29" s="227">
        <f>Activity!E30*Activity!F30</f>
        <v>3420</v>
      </c>
      <c r="K29" s="227">
        <f>Activity!$E30*Activity!$F30*Activity!M30</f>
        <v>1227.78</v>
      </c>
      <c r="L29" s="229">
        <f>Activity!V30</f>
        <v>0</v>
      </c>
    </row>
    <row r="30" spans="2:12" x14ac:dyDescent="0.25">
      <c r="B30" s="203">
        <f t="shared" si="0"/>
        <v>1969</v>
      </c>
      <c r="C30" s="226">
        <f>Activity!$E31*Activity!$F31*Activity!G31</f>
        <v>1029.42</v>
      </c>
      <c r="D30" s="227">
        <f>Activity!$E31*Activity!$F31*Activity!H31</f>
        <v>0</v>
      </c>
      <c r="E30" s="227">
        <f>Activity!$E31*Activity!$F31*Activity!I31</f>
        <v>745.56</v>
      </c>
      <c r="F30" s="227">
        <f>Activity!$E31*Activity!$F31*Activity!J31</f>
        <v>256.5</v>
      </c>
      <c r="G30" s="227">
        <f>Activity!$E31*Activity!$F31*Activity!K31</f>
        <v>160.74</v>
      </c>
      <c r="H30" s="228">
        <f>Activity!$E31*Activity!$F31*Activity!L31</f>
        <v>0</v>
      </c>
      <c r="I30" s="228">
        <v>0</v>
      </c>
      <c r="J30" s="227">
        <f>Activity!E31*Activity!F31</f>
        <v>3420</v>
      </c>
      <c r="K30" s="227">
        <f>Activity!$E31*Activity!$F31*Activity!M31</f>
        <v>1227.78</v>
      </c>
      <c r="L30" s="229">
        <f>Activity!V31</f>
        <v>0</v>
      </c>
    </row>
    <row r="31" spans="2:12" x14ac:dyDescent="0.25">
      <c r="B31" s="203">
        <f t="shared" si="0"/>
        <v>1970</v>
      </c>
      <c r="C31" s="226">
        <f>Activity!$E32*Activity!$F32*Activity!G32</f>
        <v>1029.42</v>
      </c>
      <c r="D31" s="227">
        <f>Activity!$E32*Activity!$F32*Activity!H32</f>
        <v>0</v>
      </c>
      <c r="E31" s="227">
        <f>Activity!$E32*Activity!$F32*Activity!I32</f>
        <v>745.56</v>
      </c>
      <c r="F31" s="227">
        <f>Activity!$E32*Activity!$F32*Activity!J32</f>
        <v>256.5</v>
      </c>
      <c r="G31" s="227">
        <f>Activity!$E32*Activity!$F32*Activity!K32</f>
        <v>160.74</v>
      </c>
      <c r="H31" s="228">
        <f>Activity!$E32*Activity!$F32*Activity!L32</f>
        <v>0</v>
      </c>
      <c r="I31" s="228">
        <v>0</v>
      </c>
      <c r="J31" s="227">
        <f>Activity!E32*Activity!F32</f>
        <v>3420</v>
      </c>
      <c r="K31" s="227">
        <f>Activity!$E32*Activity!$F32*Activity!M32</f>
        <v>1227.78</v>
      </c>
      <c r="L31" s="229">
        <f>Activity!V32</f>
        <v>0</v>
      </c>
    </row>
    <row r="32" spans="2:12" x14ac:dyDescent="0.25">
      <c r="B32" s="203">
        <f t="shared" si="0"/>
        <v>1971</v>
      </c>
      <c r="C32" s="226">
        <f>Activity!$E33*Activity!$F33*Activity!G33</f>
        <v>1029.42</v>
      </c>
      <c r="D32" s="227">
        <f>Activity!$E33*Activity!$F33*Activity!H33</f>
        <v>0</v>
      </c>
      <c r="E32" s="227">
        <f>Activity!$E33*Activity!$F33*Activity!I33</f>
        <v>745.56</v>
      </c>
      <c r="F32" s="227">
        <f>Activity!$E33*Activity!$F33*Activity!J33</f>
        <v>256.5</v>
      </c>
      <c r="G32" s="227">
        <f>Activity!$E33*Activity!$F33*Activity!K33</f>
        <v>160.74</v>
      </c>
      <c r="H32" s="228">
        <f>Activity!$E33*Activity!$F33*Activity!L33</f>
        <v>0</v>
      </c>
      <c r="I32" s="228">
        <v>0</v>
      </c>
      <c r="J32" s="227">
        <f>Activity!E33*Activity!F33</f>
        <v>3420</v>
      </c>
      <c r="K32" s="227">
        <f>Activity!$E33*Activity!$F33*Activity!M33</f>
        <v>1227.78</v>
      </c>
      <c r="L32" s="229">
        <f>Activity!V33</f>
        <v>0</v>
      </c>
    </row>
    <row r="33" spans="2:12" x14ac:dyDescent="0.25">
      <c r="B33" s="203">
        <f t="shared" si="0"/>
        <v>1972</v>
      </c>
      <c r="C33" s="226">
        <f>Activity!$E34*Activity!$F34*Activity!G34</f>
        <v>1029.42</v>
      </c>
      <c r="D33" s="227">
        <f>Activity!$E34*Activity!$F34*Activity!H34</f>
        <v>0</v>
      </c>
      <c r="E33" s="227">
        <f>Activity!$E34*Activity!$F34*Activity!I34</f>
        <v>745.56</v>
      </c>
      <c r="F33" s="227">
        <f>Activity!$E34*Activity!$F34*Activity!J34</f>
        <v>256.5</v>
      </c>
      <c r="G33" s="227">
        <f>Activity!$E34*Activity!$F34*Activity!K34</f>
        <v>160.74</v>
      </c>
      <c r="H33" s="228">
        <f>Activity!$E34*Activity!$F34*Activity!L34</f>
        <v>0</v>
      </c>
      <c r="I33" s="228">
        <v>0</v>
      </c>
      <c r="J33" s="227">
        <f>Activity!E34*Activity!F34</f>
        <v>3420</v>
      </c>
      <c r="K33" s="227">
        <f>Activity!$E34*Activity!$F34*Activity!M34</f>
        <v>1227.78</v>
      </c>
      <c r="L33" s="229">
        <f>Activity!V34</f>
        <v>0</v>
      </c>
    </row>
    <row r="34" spans="2:12" x14ac:dyDescent="0.25">
      <c r="B34" s="203">
        <f t="shared" si="0"/>
        <v>1973</v>
      </c>
      <c r="C34" s="226">
        <f>Activity!$E35*Activity!$F35*Activity!G35</f>
        <v>1029.42</v>
      </c>
      <c r="D34" s="227">
        <f>Activity!$E35*Activity!$F35*Activity!H35</f>
        <v>0</v>
      </c>
      <c r="E34" s="227">
        <f>Activity!$E35*Activity!$F35*Activity!I35</f>
        <v>745.56</v>
      </c>
      <c r="F34" s="227">
        <f>Activity!$E35*Activity!$F35*Activity!J35</f>
        <v>256.5</v>
      </c>
      <c r="G34" s="227">
        <f>Activity!$E35*Activity!$F35*Activity!K35</f>
        <v>160.74</v>
      </c>
      <c r="H34" s="228">
        <f>Activity!$E35*Activity!$F35*Activity!L35</f>
        <v>0</v>
      </c>
      <c r="I34" s="228">
        <v>0</v>
      </c>
      <c r="J34" s="227">
        <f>Activity!E35*Activity!F35</f>
        <v>3420</v>
      </c>
      <c r="K34" s="227">
        <f>Activity!$E35*Activity!$F35*Activity!M35</f>
        <v>1227.78</v>
      </c>
      <c r="L34" s="229">
        <f>Activity!V35</f>
        <v>0</v>
      </c>
    </row>
    <row r="35" spans="2:12" x14ac:dyDescent="0.25">
      <c r="B35" s="203">
        <f t="shared" si="0"/>
        <v>1974</v>
      </c>
      <c r="C35" s="226">
        <f>Activity!$E36*Activity!$F36*Activity!G36</f>
        <v>1029.42</v>
      </c>
      <c r="D35" s="227">
        <f>Activity!$E36*Activity!$F36*Activity!H36</f>
        <v>0</v>
      </c>
      <c r="E35" s="227">
        <f>Activity!$E36*Activity!$F36*Activity!I36</f>
        <v>745.56</v>
      </c>
      <c r="F35" s="227">
        <f>Activity!$E36*Activity!$F36*Activity!J36</f>
        <v>256.5</v>
      </c>
      <c r="G35" s="227">
        <f>Activity!$E36*Activity!$F36*Activity!K36</f>
        <v>160.74</v>
      </c>
      <c r="H35" s="228">
        <f>Activity!$E36*Activity!$F36*Activity!L36</f>
        <v>0</v>
      </c>
      <c r="I35" s="228">
        <v>0</v>
      </c>
      <c r="J35" s="227">
        <f>Activity!E36*Activity!F36</f>
        <v>3420</v>
      </c>
      <c r="K35" s="227">
        <f>Activity!$E36*Activity!$F36*Activity!M36</f>
        <v>1227.78</v>
      </c>
      <c r="L35" s="229">
        <f>Activity!V36</f>
        <v>0</v>
      </c>
    </row>
    <row r="36" spans="2:12" x14ac:dyDescent="0.25">
      <c r="B36" s="203">
        <f t="shared" si="0"/>
        <v>1975</v>
      </c>
      <c r="C36" s="226">
        <f>Activity!$E37*Activity!$F37*Activity!G37</f>
        <v>1029.42</v>
      </c>
      <c r="D36" s="227">
        <f>Activity!$E37*Activity!$F37*Activity!H37</f>
        <v>0</v>
      </c>
      <c r="E36" s="227">
        <f>Activity!$E37*Activity!$F37*Activity!I37</f>
        <v>745.56</v>
      </c>
      <c r="F36" s="227">
        <f>Activity!$E37*Activity!$F37*Activity!J37</f>
        <v>256.5</v>
      </c>
      <c r="G36" s="227">
        <f>Activity!$E37*Activity!$F37*Activity!K37</f>
        <v>160.74</v>
      </c>
      <c r="H36" s="228">
        <f>Activity!$E37*Activity!$F37*Activity!L37</f>
        <v>0</v>
      </c>
      <c r="I36" s="228">
        <v>0</v>
      </c>
      <c r="J36" s="227">
        <f>Activity!E37*Activity!F37</f>
        <v>3420</v>
      </c>
      <c r="K36" s="227">
        <f>Activity!$E37*Activity!$F37*Activity!M37</f>
        <v>1227.78</v>
      </c>
      <c r="L36" s="229">
        <f>Activity!V37</f>
        <v>0</v>
      </c>
    </row>
    <row r="37" spans="2:12" x14ac:dyDescent="0.25">
      <c r="B37" s="203">
        <f t="shared" si="0"/>
        <v>1976</v>
      </c>
      <c r="C37" s="226">
        <f>Activity!$E38*Activity!$F38*Activity!G38</f>
        <v>1029.42</v>
      </c>
      <c r="D37" s="227">
        <f>Activity!$E38*Activity!$F38*Activity!H38</f>
        <v>0</v>
      </c>
      <c r="E37" s="227">
        <f>Activity!$E38*Activity!$F38*Activity!I38</f>
        <v>745.56</v>
      </c>
      <c r="F37" s="227">
        <f>Activity!$E38*Activity!$F38*Activity!J38</f>
        <v>256.5</v>
      </c>
      <c r="G37" s="227">
        <f>Activity!$E38*Activity!$F38*Activity!K38</f>
        <v>160.74</v>
      </c>
      <c r="H37" s="228">
        <f>Activity!$E38*Activity!$F38*Activity!L38</f>
        <v>0</v>
      </c>
      <c r="I37" s="228">
        <v>0</v>
      </c>
      <c r="J37" s="227">
        <f>Activity!E38*Activity!F38</f>
        <v>3420</v>
      </c>
      <c r="K37" s="227">
        <f>Activity!$E38*Activity!$F38*Activity!M38</f>
        <v>1227.78</v>
      </c>
      <c r="L37" s="229">
        <f>Activity!V38</f>
        <v>0</v>
      </c>
    </row>
    <row r="38" spans="2:12" x14ac:dyDescent="0.25">
      <c r="B38" s="203">
        <f t="shared" si="0"/>
        <v>1977</v>
      </c>
      <c r="C38" s="226">
        <f>Activity!$E39*Activity!$F39*Activity!G39</f>
        <v>1029.42</v>
      </c>
      <c r="D38" s="227">
        <f>Activity!$E39*Activity!$F39*Activity!H39</f>
        <v>0</v>
      </c>
      <c r="E38" s="227">
        <f>Activity!$E39*Activity!$F39*Activity!I39</f>
        <v>745.56</v>
      </c>
      <c r="F38" s="227">
        <f>Activity!$E39*Activity!$F39*Activity!J39</f>
        <v>256.5</v>
      </c>
      <c r="G38" s="227">
        <f>Activity!$E39*Activity!$F39*Activity!K39</f>
        <v>160.74</v>
      </c>
      <c r="H38" s="228">
        <f>Activity!$E39*Activity!$F39*Activity!L39</f>
        <v>0</v>
      </c>
      <c r="I38" s="228">
        <v>0</v>
      </c>
      <c r="J38" s="227">
        <f>Activity!E39*Activity!F39</f>
        <v>3420</v>
      </c>
      <c r="K38" s="227">
        <f>Activity!$E39*Activity!$F39*Activity!M39</f>
        <v>1227.78</v>
      </c>
      <c r="L38" s="229">
        <f>Activity!V39</f>
        <v>0</v>
      </c>
    </row>
    <row r="39" spans="2:12" x14ac:dyDescent="0.25">
      <c r="B39" s="203">
        <f t="shared" si="0"/>
        <v>1978</v>
      </c>
      <c r="C39" s="226">
        <f>Activity!$E40*Activity!$F40*Activity!G40</f>
        <v>1029.42</v>
      </c>
      <c r="D39" s="227">
        <f>Activity!$E40*Activity!$F40*Activity!H40</f>
        <v>0</v>
      </c>
      <c r="E39" s="227">
        <f>Activity!$E40*Activity!$F40*Activity!I40</f>
        <v>745.56</v>
      </c>
      <c r="F39" s="227">
        <f>Activity!$E40*Activity!$F40*Activity!J40</f>
        <v>256.5</v>
      </c>
      <c r="G39" s="227">
        <f>Activity!$E40*Activity!$F40*Activity!K40</f>
        <v>160.74</v>
      </c>
      <c r="H39" s="228">
        <f>Activity!$E40*Activity!$F40*Activity!L40</f>
        <v>0</v>
      </c>
      <c r="I39" s="228">
        <v>0</v>
      </c>
      <c r="J39" s="227">
        <f>Activity!E40*Activity!F40</f>
        <v>3420</v>
      </c>
      <c r="K39" s="227">
        <f>Activity!$E40*Activity!$F40*Activity!M40</f>
        <v>1227.78</v>
      </c>
      <c r="L39" s="229">
        <f>Activity!V40</f>
        <v>0</v>
      </c>
    </row>
    <row r="40" spans="2:12" x14ac:dyDescent="0.25">
      <c r="B40" s="203">
        <f t="shared" si="0"/>
        <v>1979</v>
      </c>
      <c r="C40" s="226">
        <f>Activity!$E41*Activity!$F41*Activity!G41</f>
        <v>1029.42</v>
      </c>
      <c r="D40" s="227">
        <f>Activity!$E41*Activity!$F41*Activity!H41</f>
        <v>0</v>
      </c>
      <c r="E40" s="227">
        <f>Activity!$E41*Activity!$F41*Activity!I41</f>
        <v>745.56</v>
      </c>
      <c r="F40" s="227">
        <f>Activity!$E41*Activity!$F41*Activity!J41</f>
        <v>256.5</v>
      </c>
      <c r="G40" s="227">
        <f>Activity!$E41*Activity!$F41*Activity!K41</f>
        <v>160.74</v>
      </c>
      <c r="H40" s="228">
        <f>Activity!$E41*Activity!$F41*Activity!L41</f>
        <v>0</v>
      </c>
      <c r="I40" s="228">
        <v>0</v>
      </c>
      <c r="J40" s="227">
        <f>Activity!E41*Activity!F41</f>
        <v>3420</v>
      </c>
      <c r="K40" s="227">
        <f>Activity!$E41*Activity!$F41*Activity!M41</f>
        <v>1227.78</v>
      </c>
      <c r="L40" s="229">
        <f>Activity!V41</f>
        <v>0</v>
      </c>
    </row>
    <row r="41" spans="2:12" x14ac:dyDescent="0.25">
      <c r="B41" s="203">
        <f t="shared" si="0"/>
        <v>1980</v>
      </c>
      <c r="C41" s="226">
        <f>Activity!$E42*Activity!$F42*Activity!G42</f>
        <v>1029.42</v>
      </c>
      <c r="D41" s="227">
        <f>Activity!$E42*Activity!$F42*Activity!H42</f>
        <v>0</v>
      </c>
      <c r="E41" s="227">
        <f>Activity!$E42*Activity!$F42*Activity!I42</f>
        <v>745.56</v>
      </c>
      <c r="F41" s="227">
        <f>Activity!$E42*Activity!$F42*Activity!J42</f>
        <v>256.5</v>
      </c>
      <c r="G41" s="227">
        <f>Activity!$E42*Activity!$F42*Activity!K42</f>
        <v>160.74</v>
      </c>
      <c r="H41" s="228">
        <f>Activity!$E42*Activity!$F42*Activity!L42</f>
        <v>0</v>
      </c>
      <c r="I41" s="228">
        <v>0</v>
      </c>
      <c r="J41" s="227">
        <f>Activity!E42*Activity!F42</f>
        <v>3420</v>
      </c>
      <c r="K41" s="227">
        <f>Activity!$E42*Activity!$F42*Activity!M42</f>
        <v>1227.78</v>
      </c>
      <c r="L41" s="229">
        <f>Activity!V42</f>
        <v>0</v>
      </c>
    </row>
    <row r="42" spans="2:12" x14ac:dyDescent="0.25">
      <c r="B42" s="203">
        <f t="shared" si="0"/>
        <v>1981</v>
      </c>
      <c r="C42" s="226">
        <f>Activity!$E43*Activity!$F43*Activity!G43</f>
        <v>1029.42</v>
      </c>
      <c r="D42" s="227">
        <f>Activity!$E43*Activity!$F43*Activity!H43</f>
        <v>0</v>
      </c>
      <c r="E42" s="227">
        <f>Activity!$E43*Activity!$F43*Activity!I43</f>
        <v>745.56</v>
      </c>
      <c r="F42" s="227">
        <f>Activity!$E43*Activity!$F43*Activity!J43</f>
        <v>256.5</v>
      </c>
      <c r="G42" s="227">
        <f>Activity!$E43*Activity!$F43*Activity!K43</f>
        <v>160.74</v>
      </c>
      <c r="H42" s="228">
        <f>Activity!$E43*Activity!$F43*Activity!L43</f>
        <v>0</v>
      </c>
      <c r="I42" s="228">
        <v>0</v>
      </c>
      <c r="J42" s="227">
        <f>Activity!E43*Activity!F43</f>
        <v>3420</v>
      </c>
      <c r="K42" s="227">
        <f>Activity!$E43*Activity!$F43*Activity!M43</f>
        <v>1227.78</v>
      </c>
      <c r="L42" s="229">
        <f>Activity!V43</f>
        <v>0</v>
      </c>
    </row>
    <row r="43" spans="2:12" x14ac:dyDescent="0.25">
      <c r="B43" s="203">
        <f t="shared" si="0"/>
        <v>1982</v>
      </c>
      <c r="C43" s="226">
        <f>Activity!$E44*Activity!$F44*Activity!G44</f>
        <v>1029.42</v>
      </c>
      <c r="D43" s="227">
        <f>Activity!$E44*Activity!$F44*Activity!H44</f>
        <v>0</v>
      </c>
      <c r="E43" s="227">
        <f>Activity!$E44*Activity!$F44*Activity!I44</f>
        <v>745.56</v>
      </c>
      <c r="F43" s="227">
        <f>Activity!$E44*Activity!$F44*Activity!J44</f>
        <v>256.5</v>
      </c>
      <c r="G43" s="227">
        <f>Activity!$E44*Activity!$F44*Activity!K44</f>
        <v>160.74</v>
      </c>
      <c r="H43" s="228">
        <f>Activity!$E44*Activity!$F44*Activity!L44</f>
        <v>0</v>
      </c>
      <c r="I43" s="228">
        <v>0</v>
      </c>
      <c r="J43" s="227">
        <f>Activity!E44*Activity!F44</f>
        <v>3420</v>
      </c>
      <c r="K43" s="227">
        <f>Activity!$E44*Activity!$F44*Activity!M44</f>
        <v>1227.78</v>
      </c>
      <c r="L43" s="229">
        <f>Activity!V44</f>
        <v>0</v>
      </c>
    </row>
    <row r="44" spans="2:12" x14ac:dyDescent="0.25">
      <c r="B44" s="203">
        <f t="shared" si="0"/>
        <v>1983</v>
      </c>
      <c r="C44" s="226">
        <f>Activity!$E45*Activity!$F45*Activity!G45</f>
        <v>1029.42</v>
      </c>
      <c r="D44" s="227">
        <f>Activity!$E45*Activity!$F45*Activity!H45</f>
        <v>0</v>
      </c>
      <c r="E44" s="227">
        <f>Activity!$E45*Activity!$F45*Activity!I45</f>
        <v>745.56</v>
      </c>
      <c r="F44" s="227">
        <f>Activity!$E45*Activity!$F45*Activity!J45</f>
        <v>256.5</v>
      </c>
      <c r="G44" s="227">
        <f>Activity!$E45*Activity!$F45*Activity!K45</f>
        <v>160.74</v>
      </c>
      <c r="H44" s="228">
        <f>Activity!$E45*Activity!$F45*Activity!L45</f>
        <v>0</v>
      </c>
      <c r="I44" s="228">
        <v>0</v>
      </c>
      <c r="J44" s="227">
        <f>Activity!E45*Activity!F45</f>
        <v>3420</v>
      </c>
      <c r="K44" s="227">
        <f>Activity!$E45*Activity!$F45*Activity!M45</f>
        <v>1227.78</v>
      </c>
      <c r="L44" s="229">
        <f>Activity!V45</f>
        <v>0</v>
      </c>
    </row>
    <row r="45" spans="2:12" x14ac:dyDescent="0.25">
      <c r="B45" s="203">
        <f t="shared" si="0"/>
        <v>1984</v>
      </c>
      <c r="C45" s="226">
        <f>Activity!$E46*Activity!$F46*Activity!G46</f>
        <v>1029.42</v>
      </c>
      <c r="D45" s="227">
        <f>Activity!$E46*Activity!$F46*Activity!H46</f>
        <v>0</v>
      </c>
      <c r="E45" s="227">
        <f>Activity!$E46*Activity!$F46*Activity!I46</f>
        <v>745.56</v>
      </c>
      <c r="F45" s="227">
        <f>Activity!$E46*Activity!$F46*Activity!J46</f>
        <v>256.5</v>
      </c>
      <c r="G45" s="227">
        <f>Activity!$E46*Activity!$F46*Activity!K46</f>
        <v>160.74</v>
      </c>
      <c r="H45" s="228">
        <f>Activity!$E46*Activity!$F46*Activity!L46</f>
        <v>0</v>
      </c>
      <c r="I45" s="228">
        <v>0</v>
      </c>
      <c r="J45" s="227">
        <f>Activity!E46*Activity!F46</f>
        <v>3420</v>
      </c>
      <c r="K45" s="227">
        <f>Activity!$E46*Activity!$F46*Activity!M46</f>
        <v>1227.78</v>
      </c>
      <c r="L45" s="229">
        <f>Activity!V46</f>
        <v>0</v>
      </c>
    </row>
    <row r="46" spans="2:12" x14ac:dyDescent="0.25">
      <c r="B46" s="203">
        <f t="shared" si="0"/>
        <v>1985</v>
      </c>
      <c r="C46" s="226">
        <f>Activity!$E47*Activity!$F47*Activity!G47</f>
        <v>1029.42</v>
      </c>
      <c r="D46" s="227">
        <f>Activity!$E47*Activity!$F47*Activity!H47</f>
        <v>0</v>
      </c>
      <c r="E46" s="227">
        <f>Activity!$E47*Activity!$F47*Activity!I47</f>
        <v>745.56</v>
      </c>
      <c r="F46" s="227">
        <f>Activity!$E47*Activity!$F47*Activity!J47</f>
        <v>256.5</v>
      </c>
      <c r="G46" s="227">
        <f>Activity!$E47*Activity!$F47*Activity!K47</f>
        <v>160.74</v>
      </c>
      <c r="H46" s="228">
        <f>Activity!$E47*Activity!$F47*Activity!L47</f>
        <v>0</v>
      </c>
      <c r="I46" s="228">
        <v>0</v>
      </c>
      <c r="J46" s="227">
        <f>Activity!E47*Activity!F47</f>
        <v>3420</v>
      </c>
      <c r="K46" s="227">
        <f>Activity!$E47*Activity!$F47*Activity!M47</f>
        <v>1227.78</v>
      </c>
      <c r="L46" s="229">
        <f>Activity!V47</f>
        <v>0</v>
      </c>
    </row>
    <row r="47" spans="2:12" x14ac:dyDescent="0.25">
      <c r="B47" s="203">
        <f t="shared" si="0"/>
        <v>1986</v>
      </c>
      <c r="C47" s="226">
        <f>Activity!$E48*Activity!$F48*Activity!G48</f>
        <v>1029.42</v>
      </c>
      <c r="D47" s="227">
        <f>Activity!$E48*Activity!$F48*Activity!H48</f>
        <v>0</v>
      </c>
      <c r="E47" s="227">
        <f>Activity!$E48*Activity!$F48*Activity!I48</f>
        <v>745.56</v>
      </c>
      <c r="F47" s="227">
        <f>Activity!$E48*Activity!$F48*Activity!J48</f>
        <v>256.5</v>
      </c>
      <c r="G47" s="227">
        <f>Activity!$E48*Activity!$F48*Activity!K48</f>
        <v>160.74</v>
      </c>
      <c r="H47" s="228">
        <f>Activity!$E48*Activity!$F48*Activity!L48</f>
        <v>0</v>
      </c>
      <c r="I47" s="228">
        <v>0</v>
      </c>
      <c r="J47" s="227">
        <f>Activity!E48*Activity!F48</f>
        <v>3420</v>
      </c>
      <c r="K47" s="227">
        <f>Activity!$E48*Activity!$F48*Activity!M48</f>
        <v>1227.78</v>
      </c>
      <c r="L47" s="229">
        <f>Activity!V48</f>
        <v>0</v>
      </c>
    </row>
    <row r="48" spans="2:12" x14ac:dyDescent="0.25">
      <c r="B48" s="203">
        <f t="shared" si="0"/>
        <v>1987</v>
      </c>
      <c r="C48" s="226">
        <f>Activity!$E49*Activity!$F49*Activity!G49</f>
        <v>1029.42</v>
      </c>
      <c r="D48" s="227">
        <f>Activity!$E49*Activity!$F49*Activity!H49</f>
        <v>0</v>
      </c>
      <c r="E48" s="227">
        <f>Activity!$E49*Activity!$F49*Activity!I49</f>
        <v>745.56</v>
      </c>
      <c r="F48" s="227">
        <f>Activity!$E49*Activity!$F49*Activity!J49</f>
        <v>256.5</v>
      </c>
      <c r="G48" s="227">
        <f>Activity!$E49*Activity!$F49*Activity!K49</f>
        <v>160.74</v>
      </c>
      <c r="H48" s="228">
        <f>Activity!$E49*Activity!$F49*Activity!L49</f>
        <v>0</v>
      </c>
      <c r="I48" s="228">
        <v>0</v>
      </c>
      <c r="J48" s="227">
        <f>Activity!E49*Activity!F49</f>
        <v>3420</v>
      </c>
      <c r="K48" s="227">
        <f>Activity!$E49*Activity!$F49*Activity!M49</f>
        <v>1227.78</v>
      </c>
      <c r="L48" s="229">
        <f>Activity!V49</f>
        <v>0</v>
      </c>
    </row>
    <row r="49" spans="2:12" x14ac:dyDescent="0.25">
      <c r="B49" s="203">
        <f t="shared" si="0"/>
        <v>1988</v>
      </c>
      <c r="C49" s="226">
        <f>Activity!$E50*Activity!$F50*Activity!G50</f>
        <v>1029.42</v>
      </c>
      <c r="D49" s="227">
        <f>Activity!$E50*Activity!$F50*Activity!H50</f>
        <v>0</v>
      </c>
      <c r="E49" s="227">
        <f>Activity!$E50*Activity!$F50*Activity!I50</f>
        <v>745.56</v>
      </c>
      <c r="F49" s="227">
        <f>Activity!$E50*Activity!$F50*Activity!J50</f>
        <v>256.5</v>
      </c>
      <c r="G49" s="227">
        <f>Activity!$E50*Activity!$F50*Activity!K50</f>
        <v>160.74</v>
      </c>
      <c r="H49" s="228">
        <f>Activity!$E50*Activity!$F50*Activity!L50</f>
        <v>0</v>
      </c>
      <c r="I49" s="228">
        <v>0</v>
      </c>
      <c r="J49" s="227">
        <f>Activity!E50*Activity!F50</f>
        <v>3420</v>
      </c>
      <c r="K49" s="227">
        <f>Activity!$E50*Activity!$F50*Activity!M50</f>
        <v>1227.78</v>
      </c>
      <c r="L49" s="229">
        <f>Activity!V50</f>
        <v>0</v>
      </c>
    </row>
    <row r="50" spans="2:12" x14ac:dyDescent="0.25">
      <c r="B50" s="203">
        <f t="shared" si="0"/>
        <v>1989</v>
      </c>
      <c r="C50" s="226">
        <f>Activity!$E51*Activity!$F51*Activity!G51</f>
        <v>1029.42</v>
      </c>
      <c r="D50" s="227">
        <f>Activity!$E51*Activity!$F51*Activity!H51</f>
        <v>0</v>
      </c>
      <c r="E50" s="227">
        <f>Activity!$E51*Activity!$F51*Activity!I51</f>
        <v>745.56</v>
      </c>
      <c r="F50" s="227">
        <f>Activity!$E51*Activity!$F51*Activity!J51</f>
        <v>256.5</v>
      </c>
      <c r="G50" s="227">
        <f>Activity!$E51*Activity!$F51*Activity!K51</f>
        <v>160.74</v>
      </c>
      <c r="H50" s="228">
        <f>Activity!$E51*Activity!$F51*Activity!L51</f>
        <v>0</v>
      </c>
      <c r="I50" s="228">
        <v>0</v>
      </c>
      <c r="J50" s="227">
        <f>Activity!E51*Activity!F51</f>
        <v>3420</v>
      </c>
      <c r="K50" s="227">
        <f>Activity!$E51*Activity!$F51*Activity!M51</f>
        <v>1227.78</v>
      </c>
      <c r="L50" s="229">
        <f>Activity!V51</f>
        <v>0</v>
      </c>
    </row>
    <row r="51" spans="2:12" x14ac:dyDescent="0.25">
      <c r="B51" s="203">
        <f t="shared" si="0"/>
        <v>1990</v>
      </c>
      <c r="C51" s="226">
        <f>Activity!$E52*Activity!$F52*Activity!G52</f>
        <v>1029.42</v>
      </c>
      <c r="D51" s="227">
        <f>Activity!$E52*Activity!$F52*Activity!H52</f>
        <v>0</v>
      </c>
      <c r="E51" s="227">
        <f>Activity!$E52*Activity!$F52*Activity!I52</f>
        <v>745.56</v>
      </c>
      <c r="F51" s="227">
        <f>Activity!$E52*Activity!$F52*Activity!J52</f>
        <v>256.5</v>
      </c>
      <c r="G51" s="227">
        <f>Activity!$E52*Activity!$F52*Activity!K52</f>
        <v>160.74</v>
      </c>
      <c r="H51" s="228">
        <f>Activity!$E52*Activity!$F52*Activity!L52</f>
        <v>0</v>
      </c>
      <c r="I51" s="228">
        <v>0</v>
      </c>
      <c r="J51" s="227">
        <f>Activity!E52*Activity!F52</f>
        <v>3420</v>
      </c>
      <c r="K51" s="227">
        <f>Activity!$E52*Activity!$F52*Activity!M52</f>
        <v>1227.78</v>
      </c>
      <c r="L51" s="229">
        <f>Activity!V52</f>
        <v>0</v>
      </c>
    </row>
    <row r="52" spans="2:12" x14ac:dyDescent="0.25">
      <c r="B52" s="203">
        <f t="shared" si="0"/>
        <v>1991</v>
      </c>
      <c r="C52" s="226">
        <f>Activity!$E53*Activity!$F53*Activity!G53</f>
        <v>642.3039</v>
      </c>
      <c r="D52" s="227">
        <f>Activity!$E53*Activity!$F53*Activity!H53</f>
        <v>0</v>
      </c>
      <c r="E52" s="227">
        <f>Activity!$E53*Activity!$F53*Activity!I53</f>
        <v>465.1902</v>
      </c>
      <c r="F52" s="227">
        <f>Activity!$E53*Activity!$F53*Activity!J53</f>
        <v>160.04249999999999</v>
      </c>
      <c r="G52" s="227">
        <f>Activity!$E53*Activity!$F53*Activity!K53</f>
        <v>100.2933</v>
      </c>
      <c r="H52" s="228">
        <f>Activity!$E53*Activity!$F53*Activity!L53</f>
        <v>0</v>
      </c>
      <c r="I52" s="228">
        <v>0</v>
      </c>
      <c r="J52" s="227">
        <f>Activity!E53*Activity!F53</f>
        <v>2133.9</v>
      </c>
      <c r="K52" s="227">
        <f>Activity!$E53*Activity!$F53*Activity!M53</f>
        <v>766.07010000000002</v>
      </c>
      <c r="L52" s="229">
        <f>Activity!V53</f>
        <v>0</v>
      </c>
    </row>
    <row r="53" spans="2:12" x14ac:dyDescent="0.25">
      <c r="B53" s="203">
        <f t="shared" si="0"/>
        <v>1992</v>
      </c>
      <c r="C53" s="226">
        <f>Activity!$E54*Activity!$F54*Activity!G54</f>
        <v>646.90920000000006</v>
      </c>
      <c r="D53" s="227">
        <f>Activity!$E54*Activity!$F54*Activity!H54</f>
        <v>0</v>
      </c>
      <c r="E53" s="227">
        <f>Activity!$E54*Activity!$F54*Activity!I54</f>
        <v>468.52560000000005</v>
      </c>
      <c r="F53" s="227">
        <f>Activity!$E54*Activity!$F54*Activity!J54</f>
        <v>161.19000000000003</v>
      </c>
      <c r="G53" s="227">
        <f>Activity!$E54*Activity!$F54*Activity!K54</f>
        <v>101.01240000000001</v>
      </c>
      <c r="H53" s="228">
        <f>Activity!$E54*Activity!$F54*Activity!L54</f>
        <v>0</v>
      </c>
      <c r="I53" s="228">
        <v>0</v>
      </c>
      <c r="J53" s="227">
        <f>Activity!E54*Activity!F54</f>
        <v>2149.2000000000003</v>
      </c>
      <c r="K53" s="227">
        <f>Activity!$E54*Activity!$F54*Activity!M54</f>
        <v>771.56280000000004</v>
      </c>
      <c r="L53" s="229">
        <f>Activity!V54</f>
        <v>0</v>
      </c>
    </row>
    <row r="54" spans="2:12" x14ac:dyDescent="0.25">
      <c r="B54" s="203">
        <f t="shared" si="0"/>
        <v>1993</v>
      </c>
      <c r="C54" s="226">
        <f>Activity!$E55*Activity!$F55*Activity!G55</f>
        <v>672.91559999999993</v>
      </c>
      <c r="D54" s="227">
        <f>Activity!$E55*Activity!$F55*Activity!H55</f>
        <v>0</v>
      </c>
      <c r="E54" s="227">
        <f>Activity!$E55*Activity!$F55*Activity!I55</f>
        <v>487.36079999999998</v>
      </c>
      <c r="F54" s="227">
        <f>Activity!$E55*Activity!$F55*Activity!J55</f>
        <v>167.67</v>
      </c>
      <c r="G54" s="227">
        <f>Activity!$E55*Activity!$F55*Activity!K55</f>
        <v>105.0732</v>
      </c>
      <c r="H54" s="228">
        <f>Activity!$E55*Activity!$F55*Activity!L55</f>
        <v>0</v>
      </c>
      <c r="I54" s="228">
        <v>0</v>
      </c>
      <c r="J54" s="227">
        <f>Activity!E55*Activity!F55</f>
        <v>2235.6</v>
      </c>
      <c r="K54" s="227">
        <f>Activity!$E55*Activity!$F55*Activity!M55</f>
        <v>802.58039999999994</v>
      </c>
      <c r="L54" s="229">
        <f>Activity!V55</f>
        <v>0</v>
      </c>
    </row>
    <row r="55" spans="2:12" x14ac:dyDescent="0.25">
      <c r="B55" s="203">
        <f t="shared" si="0"/>
        <v>1994</v>
      </c>
      <c r="C55" s="226">
        <f>Activity!$E56*Activity!$F56*Activity!G56</f>
        <v>688.89870000000008</v>
      </c>
      <c r="D55" s="227">
        <f>Activity!$E56*Activity!$F56*Activity!H56</f>
        <v>0</v>
      </c>
      <c r="E55" s="227">
        <f>Activity!$E56*Activity!$F56*Activity!I56</f>
        <v>498.93660000000006</v>
      </c>
      <c r="F55" s="227">
        <f>Activity!$E56*Activity!$F56*Activity!J56</f>
        <v>171.6525</v>
      </c>
      <c r="G55" s="227">
        <f>Activity!$E56*Activity!$F56*Activity!K56</f>
        <v>107.56890000000001</v>
      </c>
      <c r="H55" s="228">
        <f>Activity!$E56*Activity!$F56*Activity!L56</f>
        <v>0</v>
      </c>
      <c r="I55" s="228">
        <v>0</v>
      </c>
      <c r="J55" s="227">
        <f>Activity!E56*Activity!F56</f>
        <v>2288.7000000000003</v>
      </c>
      <c r="K55" s="227">
        <f>Activity!$E56*Activity!$F56*Activity!M56</f>
        <v>821.64330000000007</v>
      </c>
      <c r="L55" s="229">
        <f>Activity!V56</f>
        <v>0</v>
      </c>
    </row>
    <row r="56" spans="2:12" x14ac:dyDescent="0.25">
      <c r="B56" s="203">
        <f t="shared" si="0"/>
        <v>1995</v>
      </c>
      <c r="C56" s="226">
        <f>Activity!$E57*Activity!$F57*Activity!G57</f>
        <v>693.7749</v>
      </c>
      <c r="D56" s="227">
        <f>Activity!$E57*Activity!$F57*Activity!H57</f>
        <v>0</v>
      </c>
      <c r="E56" s="227">
        <f>Activity!$E57*Activity!$F57*Activity!I57</f>
        <v>502.46820000000002</v>
      </c>
      <c r="F56" s="227">
        <f>Activity!$E57*Activity!$F57*Activity!J57</f>
        <v>172.86750000000001</v>
      </c>
      <c r="G56" s="227">
        <f>Activity!$E57*Activity!$F57*Activity!K57</f>
        <v>108.33030000000001</v>
      </c>
      <c r="H56" s="228">
        <f>Activity!$E57*Activity!$F57*Activity!L57</f>
        <v>0</v>
      </c>
      <c r="I56" s="228">
        <v>0</v>
      </c>
      <c r="J56" s="227">
        <f>Activity!E57*Activity!F57</f>
        <v>2304.9</v>
      </c>
      <c r="K56" s="227">
        <f>Activity!$E57*Activity!$F57*Activity!M57</f>
        <v>827.45910000000003</v>
      </c>
      <c r="L56" s="229">
        <f>Activity!V57</f>
        <v>0</v>
      </c>
    </row>
    <row r="57" spans="2:12" x14ac:dyDescent="0.25">
      <c r="B57" s="203">
        <f t="shared" si="0"/>
        <v>1996</v>
      </c>
      <c r="C57" s="226">
        <f>Activity!$E58*Activity!$F58*Activity!G58</f>
        <v>684.08100000000002</v>
      </c>
      <c r="D57" s="227">
        <f>Activity!$E58*Activity!$F58*Activity!H58</f>
        <v>0</v>
      </c>
      <c r="E57" s="227">
        <f>Activity!$E58*Activity!$F58*Activity!I58</f>
        <v>514.24020000000007</v>
      </c>
      <c r="F57" s="227">
        <f>Activity!$E58*Activity!$F58*Activity!J58</f>
        <v>176.91749999999999</v>
      </c>
      <c r="G57" s="227">
        <f>Activity!$E58*Activity!$F58*Activity!K58</f>
        <v>110.8683</v>
      </c>
      <c r="H57" s="228">
        <f>Activity!$E58*Activity!$F58*Activity!L58</f>
        <v>0</v>
      </c>
      <c r="I57" s="228">
        <v>0</v>
      </c>
      <c r="J57" s="227">
        <f>Activity!E58*Activity!F58</f>
        <v>2358.9</v>
      </c>
      <c r="K57" s="227">
        <f>Activity!$E58*Activity!$F58*Activity!M58</f>
        <v>872.79300000000001</v>
      </c>
      <c r="L57" s="229">
        <f>Activity!V58</f>
        <v>0</v>
      </c>
    </row>
    <row r="58" spans="2:12" x14ac:dyDescent="0.25">
      <c r="B58" s="203">
        <f t="shared" si="0"/>
        <v>1997</v>
      </c>
      <c r="C58" s="226">
        <f>Activity!$E59*Activity!$F59*Activity!G59</f>
        <v>676.1160000000001</v>
      </c>
      <c r="D58" s="227">
        <f>Activity!$E59*Activity!$F59*Activity!H59</f>
        <v>0</v>
      </c>
      <c r="E58" s="227">
        <f>Activity!$E59*Activity!$F59*Activity!I59</f>
        <v>555.38100000000009</v>
      </c>
      <c r="F58" s="227">
        <f>Activity!$E59*Activity!$F59*Activity!J59</f>
        <v>181.10250000000002</v>
      </c>
      <c r="G58" s="227">
        <f>Activity!$E59*Activity!$F59*Activity!K59</f>
        <v>144.88200000000001</v>
      </c>
      <c r="H58" s="228">
        <f>Activity!$E59*Activity!$F59*Activity!L59</f>
        <v>0</v>
      </c>
      <c r="I58" s="228">
        <v>0</v>
      </c>
      <c r="J58" s="227">
        <f>Activity!E59*Activity!F59</f>
        <v>2414.7000000000003</v>
      </c>
      <c r="K58" s="227">
        <f>Activity!$E59*Activity!$F59*Activity!M59</f>
        <v>857.21850000000006</v>
      </c>
      <c r="L58" s="229">
        <f>Activity!V59</f>
        <v>0</v>
      </c>
    </row>
    <row r="59" spans="2:12" x14ac:dyDescent="0.25">
      <c r="B59" s="203">
        <f t="shared" si="0"/>
        <v>1998</v>
      </c>
      <c r="C59" s="226">
        <f>Activity!$E60*Activity!$F60*Activity!G60</f>
        <v>665.577</v>
      </c>
      <c r="D59" s="227">
        <f>Activity!$E60*Activity!$F60*Activity!H60</f>
        <v>0</v>
      </c>
      <c r="E59" s="227">
        <f>Activity!$E60*Activity!$F60*Activity!I60</f>
        <v>591.62399999999991</v>
      </c>
      <c r="F59" s="227">
        <f>Activity!$E60*Activity!$F60*Activity!J60</f>
        <v>184.88249999999999</v>
      </c>
      <c r="G59" s="227">
        <f>Activity!$E60*Activity!$F60*Activity!K60</f>
        <v>147.90599999999998</v>
      </c>
      <c r="H59" s="228">
        <f>Activity!$E60*Activity!$F60*Activity!L60</f>
        <v>0</v>
      </c>
      <c r="I59" s="228">
        <v>0</v>
      </c>
      <c r="J59" s="227">
        <f>Activity!E60*Activity!F60</f>
        <v>2465.1</v>
      </c>
      <c r="K59" s="227">
        <f>Activity!$E60*Activity!$F60*Activity!M60</f>
        <v>875.11049999999989</v>
      </c>
      <c r="L59" s="229">
        <f>Activity!V60</f>
        <v>0</v>
      </c>
    </row>
    <row r="60" spans="2:12" x14ac:dyDescent="0.25">
      <c r="B60" s="203">
        <f t="shared" si="0"/>
        <v>1999</v>
      </c>
      <c r="C60" s="226">
        <f>Activity!$E61*Activity!$F61*Activity!G61</f>
        <v>656.13599999999997</v>
      </c>
      <c r="D60" s="227">
        <f>Activity!$E61*Activity!$F61*Activity!H61</f>
        <v>0</v>
      </c>
      <c r="E60" s="227">
        <f>Activity!$E61*Activity!$F61*Activity!I61</f>
        <v>630.9</v>
      </c>
      <c r="F60" s="227">
        <f>Activity!$E61*Activity!$F61*Activity!J61</f>
        <v>189.26999999999998</v>
      </c>
      <c r="G60" s="227">
        <f>Activity!$E61*Activity!$F61*Activity!K61</f>
        <v>176.65200000000002</v>
      </c>
      <c r="H60" s="228">
        <f>Activity!$E61*Activity!$F61*Activity!L61</f>
        <v>0</v>
      </c>
      <c r="I60" s="228">
        <v>0</v>
      </c>
      <c r="J60" s="227">
        <f>Activity!E61*Activity!F61</f>
        <v>2523.6</v>
      </c>
      <c r="K60" s="227">
        <f>Activity!$E61*Activity!$F61*Activity!M61</f>
        <v>870.64199999999994</v>
      </c>
      <c r="L60" s="229">
        <f>Activity!V61</f>
        <v>0</v>
      </c>
    </row>
    <row r="61" spans="2:12" x14ac:dyDescent="0.25">
      <c r="B61" s="203">
        <f t="shared" si="0"/>
        <v>2000</v>
      </c>
      <c r="C61" s="226">
        <f>Activity!$E62*Activity!$F62*Activity!G62</f>
        <v>592.20000000000005</v>
      </c>
      <c r="D61" s="227">
        <f>Activity!$E62*Activity!$F62*Activity!H62</f>
        <v>0</v>
      </c>
      <c r="E61" s="227">
        <f>Activity!$E62*Activity!$F62*Activity!I62</f>
        <v>615.88800000000003</v>
      </c>
      <c r="F61" s="227">
        <f>Activity!$E62*Activity!$F62*Activity!J62</f>
        <v>177.66</v>
      </c>
      <c r="G61" s="227">
        <f>Activity!$E62*Activity!$F62*Activity!K62</f>
        <v>165.81600000000003</v>
      </c>
      <c r="H61" s="228">
        <f>Activity!$E62*Activity!$F62*Activity!L62</f>
        <v>0</v>
      </c>
      <c r="I61" s="228">
        <v>0</v>
      </c>
      <c r="J61" s="227">
        <f>Activity!E62*Activity!F62</f>
        <v>2368.8000000000002</v>
      </c>
      <c r="K61" s="227">
        <f>Activity!$E62*Activity!$F62*Activity!M62</f>
        <v>817.23599999999999</v>
      </c>
      <c r="L61" s="229">
        <f>Activity!V62</f>
        <v>0</v>
      </c>
    </row>
    <row r="62" spans="2:12" x14ac:dyDescent="0.25">
      <c r="B62" s="203">
        <f t="shared" si="0"/>
        <v>2001</v>
      </c>
      <c r="C62" s="226">
        <f>Activity!$E63*Activity!$F63*Activity!G63</f>
        <v>580.22100000000012</v>
      </c>
      <c r="D62" s="227">
        <f>Activity!$E63*Activity!$F63*Activity!H63</f>
        <v>0</v>
      </c>
      <c r="E62" s="227">
        <f>Activity!$E63*Activity!$F63*Activity!I63</f>
        <v>681.12900000000013</v>
      </c>
      <c r="F62" s="227">
        <f>Activity!$E63*Activity!$F63*Activity!J63</f>
        <v>189.20250000000001</v>
      </c>
      <c r="G62" s="227">
        <f>Activity!$E63*Activity!$F63*Activity!K63</f>
        <v>201.81600000000003</v>
      </c>
      <c r="H62" s="228">
        <f>Activity!$E63*Activity!$F63*Activity!L63</f>
        <v>0</v>
      </c>
      <c r="I62" s="228">
        <v>0</v>
      </c>
      <c r="J62" s="227">
        <f>Activity!E63*Activity!F63</f>
        <v>2522.7000000000003</v>
      </c>
      <c r="K62" s="227">
        <f>Activity!$E63*Activity!$F63*Activity!M63</f>
        <v>870.33150000000035</v>
      </c>
      <c r="L62" s="229">
        <f>Activity!V63</f>
        <v>0</v>
      </c>
    </row>
    <row r="63" spans="2:12" x14ac:dyDescent="0.25">
      <c r="B63" s="203">
        <f t="shared" si="0"/>
        <v>2002</v>
      </c>
      <c r="C63" s="226">
        <f>Activity!$E64*Activity!$F64*Activity!G64</f>
        <v>635.85</v>
      </c>
      <c r="D63" s="227">
        <f>Activity!$E64*Activity!$F64*Activity!H64</f>
        <v>0</v>
      </c>
      <c r="E63" s="227">
        <f>Activity!$E64*Activity!$F64*Activity!I64</f>
        <v>610.41600000000005</v>
      </c>
      <c r="F63" s="227">
        <f>Activity!$E64*Activity!$F64*Activity!J64</f>
        <v>228.90600000000001</v>
      </c>
      <c r="G63" s="227">
        <f>Activity!$E64*Activity!$F64*Activity!K64</f>
        <v>203.47200000000001</v>
      </c>
      <c r="H63" s="228">
        <f>Activity!$E64*Activity!$F64*Activity!L64</f>
        <v>0</v>
      </c>
      <c r="I63" s="228">
        <v>0</v>
      </c>
      <c r="J63" s="227">
        <f>Activity!E64*Activity!F64</f>
        <v>2543.4</v>
      </c>
      <c r="K63" s="227">
        <f>Activity!$E64*Activity!$F64*Activity!M64</f>
        <v>864.7560000000002</v>
      </c>
      <c r="L63" s="229">
        <f>Activity!V64</f>
        <v>0</v>
      </c>
    </row>
    <row r="64" spans="2:12" x14ac:dyDescent="0.25">
      <c r="B64" s="203">
        <f t="shared" si="0"/>
        <v>2003</v>
      </c>
      <c r="C64" s="226">
        <f>Activity!$E65*Activity!$F65*Activity!G65</f>
        <v>709.56000000000006</v>
      </c>
      <c r="D64" s="227">
        <f>Activity!$E65*Activity!$F65*Activity!H65</f>
        <v>0</v>
      </c>
      <c r="E64" s="227">
        <f>Activity!$E65*Activity!$F65*Activity!I65</f>
        <v>578.16</v>
      </c>
      <c r="F64" s="227">
        <f>Activity!$E65*Activity!$F65*Activity!J65</f>
        <v>289.08</v>
      </c>
      <c r="G64" s="227">
        <f>Activity!$E65*Activity!$F65*Activity!K65</f>
        <v>183.96</v>
      </c>
      <c r="H64" s="228">
        <f>Activity!$E65*Activity!$F65*Activity!L65</f>
        <v>0</v>
      </c>
      <c r="I64" s="228">
        <v>0</v>
      </c>
      <c r="J64" s="227">
        <f>Activity!E65*Activity!F65</f>
        <v>2628</v>
      </c>
      <c r="K64" s="227">
        <f>Activity!$E65*Activity!$F65*Activity!M65</f>
        <v>867.24000000000024</v>
      </c>
      <c r="L64" s="229">
        <f>Activity!V65</f>
        <v>0</v>
      </c>
    </row>
    <row r="65" spans="2:12" x14ac:dyDescent="0.25">
      <c r="B65" s="203">
        <f t="shared" si="0"/>
        <v>2004</v>
      </c>
      <c r="C65" s="226">
        <f>Activity!$E66*Activity!$F66*Activity!G66</f>
        <v>797.04000000000008</v>
      </c>
      <c r="D65" s="227">
        <f>Activity!$E66*Activity!$F66*Activity!H66</f>
        <v>0</v>
      </c>
      <c r="E65" s="227">
        <f>Activity!$E66*Activity!$F66*Activity!I66</f>
        <v>504.79200000000003</v>
      </c>
      <c r="F65" s="227">
        <f>Activity!$E66*Activity!$F66*Activity!J66</f>
        <v>345.38400000000001</v>
      </c>
      <c r="G65" s="227">
        <f>Activity!$E66*Activity!$F66*Activity!K66</f>
        <v>185.97600000000003</v>
      </c>
      <c r="H65" s="228">
        <f>Activity!$E66*Activity!$F66*Activity!L66</f>
        <v>0</v>
      </c>
      <c r="I65" s="228">
        <v>0</v>
      </c>
      <c r="J65" s="227">
        <f>Activity!E66*Activity!F66</f>
        <v>2656.8</v>
      </c>
      <c r="K65" s="227">
        <f>Activity!$E66*Activity!$F66*Activity!M66</f>
        <v>823.60800000000017</v>
      </c>
      <c r="L65" s="229">
        <f>Activity!V66</f>
        <v>0</v>
      </c>
    </row>
    <row r="66" spans="2:12" x14ac:dyDescent="0.25">
      <c r="B66" s="203">
        <f t="shared" si="0"/>
        <v>2005</v>
      </c>
      <c r="C66" s="226">
        <f>Activity!$E67*Activity!$F67*Activity!G67</f>
        <v>864</v>
      </c>
      <c r="D66" s="227">
        <f>Activity!$E67*Activity!$F67*Activity!H67</f>
        <v>0</v>
      </c>
      <c r="E66" s="227">
        <f>Activity!$E67*Activity!$F67*Activity!I67</f>
        <v>432</v>
      </c>
      <c r="F66" s="227">
        <f>Activity!$E67*Activity!$F67*Activity!J67</f>
        <v>378.00000000000006</v>
      </c>
      <c r="G66" s="227">
        <f>Activity!$E67*Activity!$F67*Activity!K67</f>
        <v>189.00000000000003</v>
      </c>
      <c r="H66" s="228">
        <f>Activity!$E67*Activity!$F67*Activity!L67</f>
        <v>0</v>
      </c>
      <c r="I66" s="228">
        <v>0</v>
      </c>
      <c r="J66" s="227">
        <f>Activity!E67*Activity!F67</f>
        <v>2700</v>
      </c>
      <c r="K66" s="227">
        <f>Activity!$E67*Activity!$F67*Activity!M67</f>
        <v>837.00000000000011</v>
      </c>
      <c r="L66" s="229">
        <f>Activity!V67</f>
        <v>0</v>
      </c>
    </row>
    <row r="67" spans="2:12" x14ac:dyDescent="0.25">
      <c r="B67" s="203">
        <f t="shared" si="0"/>
        <v>2006</v>
      </c>
      <c r="C67" s="226">
        <f>Activity!$E68*Activity!$F68*Activity!G68</f>
        <v>884.16</v>
      </c>
      <c r="D67" s="227">
        <f>Activity!$E68*Activity!$F68*Activity!H68</f>
        <v>0</v>
      </c>
      <c r="E67" s="227">
        <f>Activity!$E68*Activity!$F68*Activity!I68</f>
        <v>442.08</v>
      </c>
      <c r="F67" s="227">
        <f>Activity!$E68*Activity!$F68*Activity!J68</f>
        <v>386.82000000000005</v>
      </c>
      <c r="G67" s="227">
        <f>Activity!$E68*Activity!$F68*Activity!K68</f>
        <v>193.41000000000003</v>
      </c>
      <c r="H67" s="228">
        <f>Activity!$E68*Activity!$F68*Activity!L68</f>
        <v>0</v>
      </c>
      <c r="I67" s="228">
        <v>0</v>
      </c>
      <c r="J67" s="227">
        <f>Activity!E68*Activity!F68</f>
        <v>2763</v>
      </c>
      <c r="K67" s="227">
        <f>Activity!$E68*Activity!$F68*Activity!M68</f>
        <v>856.5300000000002</v>
      </c>
      <c r="L67" s="229">
        <f>Activity!V68</f>
        <v>0</v>
      </c>
    </row>
    <row r="68" spans="2:12" x14ac:dyDescent="0.25">
      <c r="B68" s="203">
        <f t="shared" si="0"/>
        <v>2007</v>
      </c>
      <c r="C68" s="226">
        <f>Activity!$E69*Activity!$F69*Activity!G69</f>
        <v>927.64800000000002</v>
      </c>
      <c r="D68" s="227">
        <f>Activity!$E69*Activity!$F69*Activity!H69</f>
        <v>0</v>
      </c>
      <c r="E68" s="227">
        <f>Activity!$E69*Activity!$F69*Activity!I69</f>
        <v>492.81300000000005</v>
      </c>
      <c r="F68" s="227">
        <f>Activity!$E69*Activity!$F69*Activity!J69</f>
        <v>376.85700000000003</v>
      </c>
      <c r="G68" s="227">
        <f>Activity!$E69*Activity!$F69*Activity!K69</f>
        <v>231.91200000000001</v>
      </c>
      <c r="H68" s="228">
        <f>Activity!$E69*Activity!$F69*Activity!L69</f>
        <v>0</v>
      </c>
      <c r="I68" s="228">
        <v>0</v>
      </c>
      <c r="J68" s="227">
        <f>Activity!E69*Activity!F69</f>
        <v>2898.9</v>
      </c>
      <c r="K68" s="227">
        <f>Activity!$E69*Activity!$F69*Activity!M69</f>
        <v>869.67000000000019</v>
      </c>
      <c r="L68" s="229">
        <f>Activity!V69</f>
        <v>0</v>
      </c>
    </row>
    <row r="69" spans="2:12" x14ac:dyDescent="0.25">
      <c r="B69" s="203">
        <f t="shared" si="0"/>
        <v>2008</v>
      </c>
      <c r="C69" s="226">
        <f>Activity!$E70*Activity!$F70*Activity!G70</f>
        <v>954.43200000000002</v>
      </c>
      <c r="D69" s="227">
        <f>Activity!$E70*Activity!$F70*Activity!H70</f>
        <v>0</v>
      </c>
      <c r="E69" s="227">
        <f>Activity!$E70*Activity!$F70*Activity!I70</f>
        <v>477.21600000000001</v>
      </c>
      <c r="F69" s="227">
        <f>Activity!$E70*Activity!$F70*Activity!J70</f>
        <v>417.56400000000002</v>
      </c>
      <c r="G69" s="227">
        <f>Activity!$E70*Activity!$F70*Activity!K70</f>
        <v>208.78200000000001</v>
      </c>
      <c r="H69" s="228">
        <f>Activity!$E70*Activity!$F70*Activity!L70</f>
        <v>0</v>
      </c>
      <c r="I69" s="228">
        <v>0</v>
      </c>
      <c r="J69" s="227">
        <f>Activity!E70*Activity!F70</f>
        <v>2982.6</v>
      </c>
      <c r="K69" s="227">
        <f>Activity!$E70*Activity!$F70*Activity!M70</f>
        <v>924.60600000000011</v>
      </c>
      <c r="L69" s="229">
        <f>Activity!V70</f>
        <v>0</v>
      </c>
    </row>
    <row r="70" spans="2:12" x14ac:dyDescent="0.25">
      <c r="B70" s="203">
        <f t="shared" si="0"/>
        <v>2009</v>
      </c>
      <c r="C70" s="226">
        <f>Activity!$E71*Activity!$F71*Activity!G71</f>
        <v>1078.56</v>
      </c>
      <c r="D70" s="227">
        <f>Activity!$E71*Activity!$F71*Activity!H71</f>
        <v>0</v>
      </c>
      <c r="E70" s="227">
        <f>Activity!$E71*Activity!$F71*Activity!I71</f>
        <v>493.05599999999998</v>
      </c>
      <c r="F70" s="227">
        <f>Activity!$E71*Activity!$F71*Activity!J71</f>
        <v>400.608</v>
      </c>
      <c r="G70" s="227">
        <f>Activity!$E71*Activity!$F71*Activity!K71</f>
        <v>246.52799999999999</v>
      </c>
      <c r="H70" s="228">
        <f>Activity!$E71*Activity!$F71*Activity!L71</f>
        <v>0</v>
      </c>
      <c r="I70" s="228">
        <v>0</v>
      </c>
      <c r="J70" s="227">
        <f>Activity!E71*Activity!F71</f>
        <v>3081.6</v>
      </c>
      <c r="K70" s="227">
        <f>Activity!$E71*Activity!$F71*Activity!M71</f>
        <v>862.84800000000007</v>
      </c>
      <c r="L70" s="229">
        <f>Activity!V71</f>
        <v>0</v>
      </c>
    </row>
    <row r="71" spans="2:12" x14ac:dyDescent="0.25">
      <c r="B71" s="203">
        <f t="shared" si="0"/>
        <v>2010</v>
      </c>
      <c r="C71" s="226">
        <f>Activity!$E72*Activity!$F72*Activity!G72</f>
        <v>1072.8899999999999</v>
      </c>
      <c r="D71" s="227">
        <f>Activity!$E72*Activity!$F72*Activity!H72</f>
        <v>0</v>
      </c>
      <c r="E71" s="227">
        <f>Activity!$E72*Activity!$F72*Activity!I72</f>
        <v>490.464</v>
      </c>
      <c r="F71" s="227">
        <f>Activity!$E72*Activity!$F72*Activity!J72</f>
        <v>398.50200000000001</v>
      </c>
      <c r="G71" s="227">
        <f>Activity!$E72*Activity!$F72*Activity!K72</f>
        <v>245.232</v>
      </c>
      <c r="H71" s="228">
        <f>Activity!$E72*Activity!$F72*Activity!L72</f>
        <v>0</v>
      </c>
      <c r="I71" s="228">
        <v>0</v>
      </c>
      <c r="J71" s="227">
        <f>Activity!E72*Activity!F72</f>
        <v>3065.4</v>
      </c>
      <c r="K71" s="227">
        <f>Activity!$E72*Activity!$F72*Activity!M72</f>
        <v>858.31200000000013</v>
      </c>
      <c r="L71" s="229">
        <f>Activity!V72</f>
        <v>0</v>
      </c>
    </row>
    <row r="72" spans="2:12" x14ac:dyDescent="0.25">
      <c r="B72" s="203">
        <f t="shared" si="0"/>
        <v>2011</v>
      </c>
      <c r="C72" s="226">
        <f>Activity!$E73*Activity!$F73*Activity!G73</f>
        <v>1003.275</v>
      </c>
      <c r="D72" s="227">
        <f>Activity!$E73*Activity!$F73*Activity!H73</f>
        <v>0</v>
      </c>
      <c r="E72" s="227">
        <f>Activity!$E73*Activity!$F73*Activity!I73</f>
        <v>458.64</v>
      </c>
      <c r="F72" s="227">
        <f>Activity!$E73*Activity!$F73*Activity!J73</f>
        <v>372.64500000000004</v>
      </c>
      <c r="G72" s="227">
        <f>Activity!$E73*Activity!$F73*Activity!K73</f>
        <v>229.32</v>
      </c>
      <c r="H72" s="228">
        <f>Activity!$E73*Activity!$F73*Activity!L73</f>
        <v>0</v>
      </c>
      <c r="I72" s="228">
        <v>0</v>
      </c>
      <c r="J72" s="227">
        <f>Activity!E73*Activity!F73</f>
        <v>2866.5</v>
      </c>
      <c r="K72" s="227">
        <f>Activity!$E73*Activity!$F73*Activity!M73</f>
        <v>802.62000000000012</v>
      </c>
      <c r="L72" s="229">
        <f>Activity!V73</f>
        <v>0</v>
      </c>
    </row>
    <row r="73" spans="2:12" x14ac:dyDescent="0.25">
      <c r="B73" s="203">
        <f t="shared" si="0"/>
        <v>2012</v>
      </c>
      <c r="C73" s="226">
        <f>Activity!$E74*Activity!$F74*Activity!G74</f>
        <v>939.01499999999999</v>
      </c>
      <c r="D73" s="227">
        <f>Activity!$E74*Activity!$F74*Activity!H74</f>
        <v>0</v>
      </c>
      <c r="E73" s="227">
        <f>Activity!$E74*Activity!$F74*Activity!I74</f>
        <v>429.26400000000001</v>
      </c>
      <c r="F73" s="227">
        <f>Activity!$E74*Activity!$F74*Activity!J74</f>
        <v>348.77700000000004</v>
      </c>
      <c r="G73" s="227">
        <f>Activity!$E74*Activity!$F74*Activity!K74</f>
        <v>214.63200000000001</v>
      </c>
      <c r="H73" s="228">
        <f>Activity!$E74*Activity!$F74*Activity!L74</f>
        <v>0</v>
      </c>
      <c r="I73" s="228">
        <v>0</v>
      </c>
      <c r="J73" s="227">
        <f>Activity!E74*Activity!F74</f>
        <v>2682.9</v>
      </c>
      <c r="K73" s="227">
        <f>Activity!$E74*Activity!$F74*Activity!M74</f>
        <v>751.2120000000001</v>
      </c>
      <c r="L73" s="229">
        <f>Activity!V74</f>
        <v>0</v>
      </c>
    </row>
    <row r="74" spans="2:12" x14ac:dyDescent="0.25">
      <c r="B74" s="203">
        <f t="shared" si="0"/>
        <v>2013</v>
      </c>
      <c r="C74" s="226">
        <f>Activity!$E75*Activity!$F75*Activity!G75</f>
        <v>877.59</v>
      </c>
      <c r="D74" s="227">
        <f>Activity!$E75*Activity!$F75*Activity!H75</f>
        <v>0</v>
      </c>
      <c r="E74" s="227">
        <f>Activity!$E75*Activity!$F75*Activity!I75</f>
        <v>401.18400000000003</v>
      </c>
      <c r="F74" s="227">
        <f>Activity!$E75*Activity!$F75*Activity!J75</f>
        <v>325.96200000000005</v>
      </c>
      <c r="G74" s="227">
        <f>Activity!$E75*Activity!$F75*Activity!K75</f>
        <v>200.59200000000001</v>
      </c>
      <c r="H74" s="228">
        <f>Activity!$E75*Activity!$F75*Activity!L75</f>
        <v>0</v>
      </c>
      <c r="I74" s="228">
        <v>0</v>
      </c>
      <c r="J74" s="227">
        <f>Activity!E75*Activity!F75</f>
        <v>2507.4</v>
      </c>
      <c r="K74" s="227">
        <f>Activity!$E75*Activity!$F75*Activity!M75</f>
        <v>702.07200000000012</v>
      </c>
      <c r="L74" s="229">
        <f>Activity!V75</f>
        <v>0</v>
      </c>
    </row>
    <row r="75" spans="2:12" x14ac:dyDescent="0.25">
      <c r="B75" s="203">
        <f t="shared" si="0"/>
        <v>2014</v>
      </c>
      <c r="C75" s="226">
        <f>Activity!$E76*Activity!$F76*Activity!G76</f>
        <v>847.98</v>
      </c>
      <c r="D75" s="227">
        <f>Activity!$E76*Activity!$F76*Activity!H76</f>
        <v>0</v>
      </c>
      <c r="E75" s="227">
        <f>Activity!$E76*Activity!$F76*Activity!I76</f>
        <v>387.64800000000002</v>
      </c>
      <c r="F75" s="227">
        <f>Activity!$E76*Activity!$F76*Activity!J76</f>
        <v>314.96400000000006</v>
      </c>
      <c r="G75" s="227">
        <f>Activity!$E76*Activity!$F76*Activity!K76</f>
        <v>193.82400000000001</v>
      </c>
      <c r="H75" s="228">
        <f>Activity!$E76*Activity!$F76*Activity!L76</f>
        <v>0</v>
      </c>
      <c r="I75" s="228">
        <v>0</v>
      </c>
      <c r="J75" s="227">
        <f>Activity!E76*Activity!F76</f>
        <v>2422.8000000000002</v>
      </c>
      <c r="K75" s="227">
        <f>Activity!$E76*Activity!$F76*Activity!M76</f>
        <v>678.38400000000013</v>
      </c>
      <c r="L75" s="229">
        <f>Activity!V76</f>
        <v>0</v>
      </c>
    </row>
    <row r="76" spans="2:12" x14ac:dyDescent="0.25">
      <c r="B76" s="203">
        <f t="shared" si="0"/>
        <v>2015</v>
      </c>
      <c r="C76" s="226">
        <f>Activity!$E77*Activity!$F77*Activity!G77</f>
        <v>809.55</v>
      </c>
      <c r="D76" s="227">
        <f>Activity!$E77*Activity!$F77*Activity!H77</f>
        <v>0</v>
      </c>
      <c r="E76" s="227">
        <f>Activity!$E77*Activity!$F77*Activity!I77</f>
        <v>370.08</v>
      </c>
      <c r="F76" s="227">
        <f>Activity!$E77*Activity!$F77*Activity!J77</f>
        <v>300.69</v>
      </c>
      <c r="G76" s="227">
        <f>Activity!$E77*Activity!$F77*Activity!K77</f>
        <v>185.04</v>
      </c>
      <c r="H76" s="228">
        <f>Activity!$E77*Activity!$F77*Activity!L77</f>
        <v>0</v>
      </c>
      <c r="I76" s="228">
        <v>0</v>
      </c>
      <c r="J76" s="227">
        <f>Activity!E77*Activity!F77</f>
        <v>2313</v>
      </c>
      <c r="K76" s="227">
        <f>Activity!$E77*Activity!$F77*Activity!M77</f>
        <v>647.6400000000001</v>
      </c>
      <c r="L76" s="229">
        <f>Activity!V77</f>
        <v>0</v>
      </c>
    </row>
    <row r="77" spans="2:12" x14ac:dyDescent="0.25">
      <c r="B77" s="203">
        <f t="shared" ref="B77:B101" si="1">B76+1</f>
        <v>2016</v>
      </c>
      <c r="C77" s="226">
        <f>Activity!$E78*Activity!$F78*Activity!G78</f>
        <v>787.18499999999995</v>
      </c>
      <c r="D77" s="227">
        <f>Activity!$E78*Activity!$F78*Activity!H78</f>
        <v>0</v>
      </c>
      <c r="E77" s="227">
        <f>Activity!$E78*Activity!$F78*Activity!I78</f>
        <v>359.85599999999999</v>
      </c>
      <c r="F77" s="227">
        <f>Activity!$E78*Activity!$F78*Activity!J78</f>
        <v>292.38299999999998</v>
      </c>
      <c r="G77" s="227">
        <f>Activity!$E78*Activity!$F78*Activity!K78</f>
        <v>179.928</v>
      </c>
      <c r="H77" s="228">
        <f>Activity!$E78*Activity!$F78*Activity!L78</f>
        <v>0</v>
      </c>
      <c r="I77" s="228">
        <v>0</v>
      </c>
      <c r="J77" s="227">
        <f>Activity!E78*Activity!F78</f>
        <v>2249.1</v>
      </c>
      <c r="K77" s="227">
        <f>Activity!$E78*Activity!$F78*Activity!M78</f>
        <v>629.74800000000005</v>
      </c>
      <c r="L77" s="229">
        <f>Activity!V78</f>
        <v>0</v>
      </c>
    </row>
    <row r="78" spans="2:12" x14ac:dyDescent="0.25">
      <c r="B78" s="203">
        <f t="shared" si="1"/>
        <v>2017</v>
      </c>
      <c r="C78" s="226">
        <f>Activity!$E79*Activity!$F79*Activity!G79</f>
        <v>787.18499999999995</v>
      </c>
      <c r="D78" s="227">
        <f>Activity!$E79*Activity!$F79*Activity!H79</f>
        <v>0</v>
      </c>
      <c r="E78" s="227">
        <f>Activity!$E79*Activity!$F79*Activity!I79</f>
        <v>359.85599999999999</v>
      </c>
      <c r="F78" s="227">
        <f>Activity!$E79*Activity!$F79*Activity!J79</f>
        <v>292.38299999999998</v>
      </c>
      <c r="G78" s="227">
        <f>Activity!$E79*Activity!$F79*Activity!K79</f>
        <v>179.928</v>
      </c>
      <c r="H78" s="228">
        <f>Activity!$E79*Activity!$F79*Activity!L79</f>
        <v>0</v>
      </c>
      <c r="I78" s="228">
        <v>0</v>
      </c>
      <c r="J78" s="227">
        <f>Activity!E79*Activity!F79</f>
        <v>2249.1</v>
      </c>
      <c r="K78" s="227">
        <f>Activity!$E79*Activity!$F79*Activity!M79</f>
        <v>629.74800000000005</v>
      </c>
      <c r="L78" s="229">
        <f>Activity!V79</f>
        <v>0</v>
      </c>
    </row>
    <row r="79" spans="2:12" x14ac:dyDescent="0.25">
      <c r="B79" s="203">
        <f t="shared" si="1"/>
        <v>2018</v>
      </c>
      <c r="C79" s="226">
        <f>Activity!$E80*Activity!$F80*Activity!G80</f>
        <v>787.18499999999995</v>
      </c>
      <c r="D79" s="227">
        <f>Activity!$E80*Activity!$F80*Activity!H80</f>
        <v>0</v>
      </c>
      <c r="E79" s="227">
        <f>Activity!$E80*Activity!$F80*Activity!I80</f>
        <v>359.85599999999999</v>
      </c>
      <c r="F79" s="227">
        <f>Activity!$E80*Activity!$F80*Activity!J80</f>
        <v>292.38299999999998</v>
      </c>
      <c r="G79" s="227">
        <f>Activity!$E80*Activity!$F80*Activity!K80</f>
        <v>179.928</v>
      </c>
      <c r="H79" s="228">
        <f>Activity!$E80*Activity!$F80*Activity!L80</f>
        <v>0</v>
      </c>
      <c r="I79" s="228">
        <v>0</v>
      </c>
      <c r="J79" s="227">
        <f>Activity!E80*Activity!F80</f>
        <v>2249.1</v>
      </c>
      <c r="K79" s="227">
        <f>Activity!$E80*Activity!$F80*Activity!M80</f>
        <v>629.74800000000005</v>
      </c>
      <c r="L79" s="229">
        <f>Activity!V80</f>
        <v>0</v>
      </c>
    </row>
    <row r="80" spans="2:12" x14ac:dyDescent="0.25">
      <c r="B80" s="203">
        <f t="shared" si="1"/>
        <v>2019</v>
      </c>
      <c r="C80" s="226">
        <f>Activity!$E81*Activity!$F81*Activity!G81</f>
        <v>787.18499999999995</v>
      </c>
      <c r="D80" s="227">
        <f>Activity!$E81*Activity!$F81*Activity!H81</f>
        <v>0</v>
      </c>
      <c r="E80" s="227">
        <f>Activity!$E81*Activity!$F81*Activity!I81</f>
        <v>359.85599999999999</v>
      </c>
      <c r="F80" s="227">
        <f>Activity!$E81*Activity!$F81*Activity!J81</f>
        <v>292.38299999999998</v>
      </c>
      <c r="G80" s="227">
        <f>Activity!$E81*Activity!$F81*Activity!K81</f>
        <v>179.928</v>
      </c>
      <c r="H80" s="228">
        <f>Activity!$E81*Activity!$F81*Activity!L81</f>
        <v>0</v>
      </c>
      <c r="I80" s="228">
        <v>0</v>
      </c>
      <c r="J80" s="227">
        <f>Activity!E81*Activity!F81</f>
        <v>2249.1</v>
      </c>
      <c r="K80" s="227">
        <f>Activity!$E81*Activity!$F81*Activity!M81</f>
        <v>629.74800000000005</v>
      </c>
      <c r="L80" s="229">
        <f>Activity!V81</f>
        <v>0</v>
      </c>
    </row>
    <row r="81" spans="2:12" x14ac:dyDescent="0.25">
      <c r="B81" s="203">
        <f t="shared" si="1"/>
        <v>2020</v>
      </c>
      <c r="C81" s="226">
        <f>Activity!$E82*Activity!$F82*Activity!G82</f>
        <v>787.18499999999995</v>
      </c>
      <c r="D81" s="227">
        <f>Activity!$E82*Activity!$F82*Activity!H82</f>
        <v>0</v>
      </c>
      <c r="E81" s="227">
        <f>Activity!$E82*Activity!$F82*Activity!I82</f>
        <v>359.85599999999999</v>
      </c>
      <c r="F81" s="227">
        <f>Activity!$E82*Activity!$F82*Activity!J82</f>
        <v>292.38299999999998</v>
      </c>
      <c r="G81" s="227">
        <f>Activity!$E82*Activity!$F82*Activity!K82</f>
        <v>179.928</v>
      </c>
      <c r="H81" s="228">
        <f>Activity!$E82*Activity!$F82*Activity!L82</f>
        <v>0</v>
      </c>
      <c r="I81" s="228">
        <v>0</v>
      </c>
      <c r="J81" s="227">
        <f>Activity!E82*Activity!F82</f>
        <v>2249.1</v>
      </c>
      <c r="K81" s="227">
        <f>Activity!$E82*Activity!$F82*Activity!M82</f>
        <v>629.74800000000005</v>
      </c>
      <c r="L81" s="229">
        <f>Activity!V82</f>
        <v>0</v>
      </c>
    </row>
    <row r="82" spans="2:12" x14ac:dyDescent="0.25">
      <c r="B82" s="203">
        <f t="shared" si="1"/>
        <v>2021</v>
      </c>
      <c r="C82" s="226">
        <f>Activity!$E83*Activity!$F83*Activity!G83</f>
        <v>787.18499999999995</v>
      </c>
      <c r="D82" s="227">
        <f>Activity!$E83*Activity!$F83*Activity!H83</f>
        <v>0</v>
      </c>
      <c r="E82" s="227">
        <f>Activity!$E83*Activity!$F83*Activity!I83</f>
        <v>359.85599999999999</v>
      </c>
      <c r="F82" s="227">
        <f>Activity!$E83*Activity!$F83*Activity!J83</f>
        <v>292.38299999999998</v>
      </c>
      <c r="G82" s="227">
        <f>Activity!$E83*Activity!$F83*Activity!K83</f>
        <v>179.928</v>
      </c>
      <c r="H82" s="228">
        <f>Activity!$E83*Activity!$F83*Activity!L83</f>
        <v>0</v>
      </c>
      <c r="I82" s="228">
        <v>0</v>
      </c>
      <c r="J82" s="227">
        <f>Activity!E83*Activity!F83</f>
        <v>2249.1</v>
      </c>
      <c r="K82" s="227">
        <f>Activity!$E83*Activity!$F83*Activity!M83</f>
        <v>629.74800000000005</v>
      </c>
      <c r="L82" s="229">
        <f>Activity!V83</f>
        <v>0</v>
      </c>
    </row>
    <row r="83" spans="2:12" x14ac:dyDescent="0.25">
      <c r="B83" s="203">
        <f t="shared" si="1"/>
        <v>2022</v>
      </c>
      <c r="C83" s="226">
        <f>Activity!$E84*Activity!$F84*Activity!G84</f>
        <v>787.18499999999995</v>
      </c>
      <c r="D83" s="227">
        <f>Activity!$E84*Activity!$F84*Activity!H84</f>
        <v>0</v>
      </c>
      <c r="E83" s="227">
        <f>Activity!$E84*Activity!$F84*Activity!I84</f>
        <v>359.85599999999999</v>
      </c>
      <c r="F83" s="227">
        <f>Activity!$E84*Activity!$F84*Activity!J84</f>
        <v>292.38299999999998</v>
      </c>
      <c r="G83" s="227">
        <f>Activity!$E84*Activity!$F84*Activity!K84</f>
        <v>179.928</v>
      </c>
      <c r="H83" s="228">
        <f>Activity!$E84*Activity!$F84*Activity!L84</f>
        <v>0</v>
      </c>
      <c r="I83" s="228">
        <v>0</v>
      </c>
      <c r="J83" s="227">
        <f>Activity!E84*Activity!F84</f>
        <v>2249.1</v>
      </c>
      <c r="K83" s="227">
        <f>Activity!$E84*Activity!$F84*Activity!M84</f>
        <v>629.74800000000005</v>
      </c>
      <c r="L83" s="229">
        <f>Activity!V84</f>
        <v>0</v>
      </c>
    </row>
    <row r="84" spans="2:12" x14ac:dyDescent="0.25">
      <c r="B84" s="203">
        <f t="shared" si="1"/>
        <v>2023</v>
      </c>
      <c r="C84" s="226">
        <f>Activity!$E85*Activity!$F85*Activity!G85</f>
        <v>787.18499999999995</v>
      </c>
      <c r="D84" s="227">
        <f>Activity!$E85*Activity!$F85*Activity!H85</f>
        <v>0</v>
      </c>
      <c r="E84" s="227">
        <f>Activity!$E85*Activity!$F85*Activity!I85</f>
        <v>359.85599999999999</v>
      </c>
      <c r="F84" s="227">
        <f>Activity!$E85*Activity!$F85*Activity!J85</f>
        <v>292.38299999999998</v>
      </c>
      <c r="G84" s="227">
        <f>Activity!$E85*Activity!$F85*Activity!K85</f>
        <v>179.928</v>
      </c>
      <c r="H84" s="228">
        <f>Activity!$E85*Activity!$F85*Activity!L85</f>
        <v>0</v>
      </c>
      <c r="I84" s="228">
        <v>0</v>
      </c>
      <c r="J84" s="227">
        <f>Activity!E85*Activity!F85</f>
        <v>2249.1</v>
      </c>
      <c r="K84" s="227">
        <f>Activity!$E85*Activity!$F85*Activity!M85</f>
        <v>629.74800000000005</v>
      </c>
      <c r="L84" s="229">
        <f>Activity!V85</f>
        <v>0</v>
      </c>
    </row>
    <row r="85" spans="2:12" x14ac:dyDescent="0.25">
      <c r="B85" s="203">
        <f t="shared" si="1"/>
        <v>2024</v>
      </c>
      <c r="C85" s="226">
        <f>Activity!$E86*Activity!$F86*Activity!G86</f>
        <v>787.18499999999995</v>
      </c>
      <c r="D85" s="227">
        <f>Activity!$E86*Activity!$F86*Activity!H86</f>
        <v>0</v>
      </c>
      <c r="E85" s="227">
        <f>Activity!$E86*Activity!$F86*Activity!I86</f>
        <v>359.85599999999999</v>
      </c>
      <c r="F85" s="227">
        <f>Activity!$E86*Activity!$F86*Activity!J86</f>
        <v>292.38299999999998</v>
      </c>
      <c r="G85" s="227">
        <f>Activity!$E86*Activity!$F86*Activity!K86</f>
        <v>179.928</v>
      </c>
      <c r="H85" s="228">
        <f>Activity!$E86*Activity!$F86*Activity!L86</f>
        <v>0</v>
      </c>
      <c r="I85" s="228">
        <v>0</v>
      </c>
      <c r="J85" s="227">
        <f>Activity!E86*Activity!F86</f>
        <v>2249.1</v>
      </c>
      <c r="K85" s="227">
        <f>Activity!$E86*Activity!$F86*Activity!M86</f>
        <v>629.74800000000005</v>
      </c>
      <c r="L85" s="229">
        <f>Activity!V86</f>
        <v>0</v>
      </c>
    </row>
    <row r="86" spans="2:12" x14ac:dyDescent="0.25">
      <c r="B86" s="203">
        <f t="shared" si="1"/>
        <v>2025</v>
      </c>
      <c r="C86" s="226">
        <f>Activity!$E87*Activity!$F87*Activity!G87</f>
        <v>787.18499999999995</v>
      </c>
      <c r="D86" s="227">
        <f>Activity!$E87*Activity!$F87*Activity!H87</f>
        <v>0</v>
      </c>
      <c r="E86" s="227">
        <f>Activity!$E87*Activity!$F87*Activity!I87</f>
        <v>359.85599999999999</v>
      </c>
      <c r="F86" s="227">
        <f>Activity!$E87*Activity!$F87*Activity!J87</f>
        <v>292.38299999999998</v>
      </c>
      <c r="G86" s="227">
        <f>Activity!$E87*Activity!$F87*Activity!K87</f>
        <v>179.928</v>
      </c>
      <c r="H86" s="228">
        <f>Activity!$E87*Activity!$F87*Activity!L87</f>
        <v>0</v>
      </c>
      <c r="I86" s="228">
        <v>0</v>
      </c>
      <c r="J86" s="227">
        <f>Activity!E87*Activity!F87</f>
        <v>2249.1</v>
      </c>
      <c r="K86" s="227">
        <f>Activity!$E87*Activity!$F87*Activity!M87</f>
        <v>629.74800000000005</v>
      </c>
      <c r="L86" s="229">
        <f>Activity!V87</f>
        <v>0</v>
      </c>
    </row>
    <row r="87" spans="2:12" x14ac:dyDescent="0.25">
      <c r="B87" s="203">
        <f t="shared" si="1"/>
        <v>2026</v>
      </c>
      <c r="C87" s="226">
        <f>Activity!$E88*Activity!$F88*Activity!G88</f>
        <v>787.18499999999995</v>
      </c>
      <c r="D87" s="227">
        <f>Activity!$E88*Activity!$F88*Activity!H88</f>
        <v>0</v>
      </c>
      <c r="E87" s="227">
        <f>Activity!$E88*Activity!$F88*Activity!I88</f>
        <v>359.85599999999999</v>
      </c>
      <c r="F87" s="227">
        <f>Activity!$E88*Activity!$F88*Activity!J88</f>
        <v>292.38299999999998</v>
      </c>
      <c r="G87" s="227">
        <f>Activity!$E88*Activity!$F88*Activity!K88</f>
        <v>179.928</v>
      </c>
      <c r="H87" s="228">
        <f>Activity!$E88*Activity!$F88*Activity!L88</f>
        <v>0</v>
      </c>
      <c r="I87" s="228">
        <v>0</v>
      </c>
      <c r="J87" s="227">
        <f>Activity!E88*Activity!F88</f>
        <v>2249.1</v>
      </c>
      <c r="K87" s="227">
        <f>Activity!$E88*Activity!$F88*Activity!M88</f>
        <v>629.74800000000005</v>
      </c>
      <c r="L87" s="229">
        <f>Activity!V88</f>
        <v>0</v>
      </c>
    </row>
    <row r="88" spans="2:12" x14ac:dyDescent="0.25">
      <c r="B88" s="203">
        <f t="shared" si="1"/>
        <v>2027</v>
      </c>
      <c r="C88" s="226">
        <f>Activity!$E89*Activity!$F89*Activity!G89</f>
        <v>787.18499999999995</v>
      </c>
      <c r="D88" s="227">
        <f>Activity!$E89*Activity!$F89*Activity!H89</f>
        <v>0</v>
      </c>
      <c r="E88" s="227">
        <f>Activity!$E89*Activity!$F89*Activity!I89</f>
        <v>359.85599999999999</v>
      </c>
      <c r="F88" s="227">
        <f>Activity!$E89*Activity!$F89*Activity!J89</f>
        <v>292.38299999999998</v>
      </c>
      <c r="G88" s="227">
        <f>Activity!$E89*Activity!$F89*Activity!K89</f>
        <v>179.928</v>
      </c>
      <c r="H88" s="228">
        <f>Activity!$E89*Activity!$F89*Activity!L89</f>
        <v>0</v>
      </c>
      <c r="I88" s="228">
        <v>0</v>
      </c>
      <c r="J88" s="227">
        <f>Activity!E89*Activity!F89</f>
        <v>2249.1</v>
      </c>
      <c r="K88" s="227">
        <f>Activity!$E89*Activity!$F89*Activity!M89</f>
        <v>629.74800000000005</v>
      </c>
      <c r="L88" s="229">
        <f>Activity!V89</f>
        <v>0</v>
      </c>
    </row>
    <row r="89" spans="2:12" x14ac:dyDescent="0.25">
      <c r="B89" s="203">
        <f t="shared" si="1"/>
        <v>2028</v>
      </c>
      <c r="C89" s="226">
        <f>Activity!$E90*Activity!$F90*Activity!G90</f>
        <v>787.18499999999995</v>
      </c>
      <c r="D89" s="227">
        <f>Activity!$E90*Activity!$F90*Activity!H90</f>
        <v>0</v>
      </c>
      <c r="E89" s="227">
        <f>Activity!$E90*Activity!$F90*Activity!I90</f>
        <v>359.85599999999999</v>
      </c>
      <c r="F89" s="227">
        <f>Activity!$E90*Activity!$F90*Activity!J90</f>
        <v>292.38299999999998</v>
      </c>
      <c r="G89" s="227">
        <f>Activity!$E90*Activity!$F90*Activity!K90</f>
        <v>179.928</v>
      </c>
      <c r="H89" s="228">
        <f>Activity!$E90*Activity!$F90*Activity!L90</f>
        <v>0</v>
      </c>
      <c r="I89" s="228">
        <v>0</v>
      </c>
      <c r="J89" s="227">
        <f>Activity!E90*Activity!F90</f>
        <v>2249.1</v>
      </c>
      <c r="K89" s="227">
        <f>Activity!$E90*Activity!$F90*Activity!M90</f>
        <v>629.74800000000005</v>
      </c>
      <c r="L89" s="229">
        <f>Activity!V90</f>
        <v>0</v>
      </c>
    </row>
    <row r="90" spans="2:12" x14ac:dyDescent="0.25">
      <c r="B90" s="203">
        <f t="shared" si="1"/>
        <v>2029</v>
      </c>
      <c r="C90" s="226">
        <f>Activity!$E91*Activity!$F91*Activity!G91</f>
        <v>787.18499999999995</v>
      </c>
      <c r="D90" s="227">
        <f>Activity!$E91*Activity!$F91*Activity!H91</f>
        <v>0</v>
      </c>
      <c r="E90" s="227">
        <f>Activity!$E91*Activity!$F91*Activity!I91</f>
        <v>359.85599999999999</v>
      </c>
      <c r="F90" s="227">
        <f>Activity!$E91*Activity!$F91*Activity!J91</f>
        <v>292.38299999999998</v>
      </c>
      <c r="G90" s="227">
        <f>Activity!$E91*Activity!$F91*Activity!K91</f>
        <v>179.928</v>
      </c>
      <c r="H90" s="228">
        <f>Activity!$E91*Activity!$F91*Activity!L91</f>
        <v>0</v>
      </c>
      <c r="I90" s="228">
        <v>0</v>
      </c>
      <c r="J90" s="227">
        <f>Activity!E91*Activity!F91</f>
        <v>2249.1</v>
      </c>
      <c r="K90" s="227">
        <f>Activity!$E91*Activity!$F91*Activity!M91</f>
        <v>629.74800000000005</v>
      </c>
      <c r="L90" s="229">
        <f>Activity!V91</f>
        <v>0</v>
      </c>
    </row>
    <row r="91" spans="2:12" x14ac:dyDescent="0.25">
      <c r="B91" s="203">
        <f t="shared" si="1"/>
        <v>2030</v>
      </c>
      <c r="C91" s="226">
        <f>Activity!$E92*Activity!$F92*Activity!G92</f>
        <v>787.18499999999995</v>
      </c>
      <c r="D91" s="227">
        <f>Activity!$E92*Activity!$F92*Activity!H92</f>
        <v>0</v>
      </c>
      <c r="E91" s="227">
        <f>Activity!$E92*Activity!$F92*Activity!I92</f>
        <v>359.85599999999999</v>
      </c>
      <c r="F91" s="227">
        <f>Activity!$E92*Activity!$F92*Activity!J92</f>
        <v>292.38299999999998</v>
      </c>
      <c r="G91" s="227">
        <f>Activity!$E92*Activity!$F92*Activity!K92</f>
        <v>179.928</v>
      </c>
      <c r="H91" s="228">
        <f>Activity!$E92*Activity!$F92*Activity!L92</f>
        <v>0</v>
      </c>
      <c r="I91" s="228">
        <v>0</v>
      </c>
      <c r="J91" s="227">
        <f>Activity!E92*Activity!F92</f>
        <v>2249.1</v>
      </c>
      <c r="K91" s="227">
        <f>Activity!$E92*Activity!$F92*Activity!M92</f>
        <v>629.74800000000005</v>
      </c>
      <c r="L91" s="229">
        <f>Activity!V92</f>
        <v>0</v>
      </c>
    </row>
    <row r="92" spans="2:12" x14ac:dyDescent="0.25">
      <c r="B92" s="203">
        <f t="shared" si="1"/>
        <v>2031</v>
      </c>
      <c r="C92" s="226">
        <f>Activity!$E93*Activity!$F93*Activity!G93</f>
        <v>787.18499999999995</v>
      </c>
      <c r="D92" s="227">
        <f>Activity!$E93*Activity!$F93*Activity!H93</f>
        <v>0</v>
      </c>
      <c r="E92" s="227">
        <f>Activity!$E93*Activity!$F93*Activity!I93</f>
        <v>359.85599999999999</v>
      </c>
      <c r="F92" s="227">
        <f>Activity!$E93*Activity!$F93*Activity!J93</f>
        <v>292.38299999999998</v>
      </c>
      <c r="G92" s="227">
        <f>Activity!$E93*Activity!$F93*Activity!K93</f>
        <v>179.928</v>
      </c>
      <c r="H92" s="228">
        <f>Activity!$E93*Activity!$F93*Activity!L93</f>
        <v>0</v>
      </c>
      <c r="I92" s="228">
        <v>0</v>
      </c>
      <c r="J92" s="227">
        <f>Activity!E93*Activity!F93</f>
        <v>2249.1</v>
      </c>
      <c r="K92" s="227">
        <f>Activity!$E93*Activity!$F93*Activity!M93</f>
        <v>629.74800000000005</v>
      </c>
      <c r="L92" s="229">
        <f>Activity!V93</f>
        <v>0</v>
      </c>
    </row>
    <row r="93" spans="2:12" x14ac:dyDescent="0.25">
      <c r="B93" s="203">
        <f t="shared" si="1"/>
        <v>2032</v>
      </c>
      <c r="C93" s="226">
        <f>Activity!$E94*Activity!$F94*Activity!G94</f>
        <v>787.18499999999995</v>
      </c>
      <c r="D93" s="227">
        <f>Activity!$E94*Activity!$F94*Activity!H94</f>
        <v>0</v>
      </c>
      <c r="E93" s="227">
        <f>Activity!$E94*Activity!$F94*Activity!I94</f>
        <v>359.85599999999999</v>
      </c>
      <c r="F93" s="227">
        <f>Activity!$E94*Activity!$F94*Activity!J94</f>
        <v>292.38299999999998</v>
      </c>
      <c r="G93" s="227">
        <f>Activity!$E94*Activity!$F94*Activity!K94</f>
        <v>179.928</v>
      </c>
      <c r="H93" s="228">
        <f>Activity!$E94*Activity!$F94*Activity!L94</f>
        <v>0</v>
      </c>
      <c r="I93" s="228">
        <v>0</v>
      </c>
      <c r="J93" s="227">
        <f>Activity!E94*Activity!F94</f>
        <v>2249.1</v>
      </c>
      <c r="K93" s="227">
        <f>Activity!$E94*Activity!$F94*Activity!M94</f>
        <v>629.74800000000005</v>
      </c>
      <c r="L93" s="229">
        <f>Activity!V94</f>
        <v>0</v>
      </c>
    </row>
    <row r="94" spans="2:12" x14ac:dyDescent="0.25">
      <c r="B94" s="203">
        <f t="shared" si="1"/>
        <v>2033</v>
      </c>
      <c r="C94" s="226">
        <f>Activity!$E95*Activity!$F95*Activity!G95</f>
        <v>787.18499999999995</v>
      </c>
      <c r="D94" s="227">
        <f>Activity!$E95*Activity!$F95*Activity!H95</f>
        <v>0</v>
      </c>
      <c r="E94" s="227">
        <f>Activity!$E95*Activity!$F95*Activity!I95</f>
        <v>359.85599999999999</v>
      </c>
      <c r="F94" s="227">
        <f>Activity!$E95*Activity!$F95*Activity!J95</f>
        <v>292.38299999999998</v>
      </c>
      <c r="G94" s="227">
        <f>Activity!$E95*Activity!$F95*Activity!K95</f>
        <v>179.928</v>
      </c>
      <c r="H94" s="228">
        <f>Activity!$E95*Activity!$F95*Activity!L95</f>
        <v>0</v>
      </c>
      <c r="I94" s="228">
        <v>0</v>
      </c>
      <c r="J94" s="227">
        <f>Activity!E95*Activity!F95</f>
        <v>2249.1</v>
      </c>
      <c r="K94" s="227">
        <f>Activity!$E95*Activity!$F95*Activity!M95</f>
        <v>629.74800000000005</v>
      </c>
      <c r="L94" s="229">
        <f>Activity!V95</f>
        <v>0</v>
      </c>
    </row>
    <row r="95" spans="2:12" x14ac:dyDescent="0.25">
      <c r="B95" s="203">
        <f t="shared" si="1"/>
        <v>2034</v>
      </c>
      <c r="C95" s="226">
        <f>Activity!$E96*Activity!$F96*Activity!G96</f>
        <v>787.18499999999995</v>
      </c>
      <c r="D95" s="227">
        <f>Activity!$E96*Activity!$F96*Activity!H96</f>
        <v>0</v>
      </c>
      <c r="E95" s="227">
        <f>Activity!$E96*Activity!$F96*Activity!I96</f>
        <v>359.85599999999999</v>
      </c>
      <c r="F95" s="227">
        <f>Activity!$E96*Activity!$F96*Activity!J96</f>
        <v>292.38299999999998</v>
      </c>
      <c r="G95" s="227">
        <f>Activity!$E96*Activity!$F96*Activity!K96</f>
        <v>179.928</v>
      </c>
      <c r="H95" s="228">
        <f>Activity!$E96*Activity!$F96*Activity!L96</f>
        <v>0</v>
      </c>
      <c r="I95" s="228">
        <v>0</v>
      </c>
      <c r="J95" s="227">
        <f>Activity!E96*Activity!F96</f>
        <v>2249.1</v>
      </c>
      <c r="K95" s="227">
        <f>Activity!$E96*Activity!$F96*Activity!M96</f>
        <v>629.74800000000005</v>
      </c>
      <c r="L95" s="229">
        <f>Activity!V96</f>
        <v>0</v>
      </c>
    </row>
    <row r="96" spans="2:12" x14ac:dyDescent="0.25">
      <c r="B96" s="203">
        <f t="shared" si="1"/>
        <v>2035</v>
      </c>
      <c r="C96" s="226">
        <f>Activity!$E97*Activity!$F97*Activity!G97</f>
        <v>787.18499999999995</v>
      </c>
      <c r="D96" s="227">
        <f>Activity!$E97*Activity!$F97*Activity!H97</f>
        <v>0</v>
      </c>
      <c r="E96" s="227">
        <f>Activity!$E97*Activity!$F97*Activity!I97</f>
        <v>359.85599999999999</v>
      </c>
      <c r="F96" s="227">
        <f>Activity!$E97*Activity!$F97*Activity!J97</f>
        <v>292.38299999999998</v>
      </c>
      <c r="G96" s="227">
        <f>Activity!$E97*Activity!$F97*Activity!K97</f>
        <v>179.928</v>
      </c>
      <c r="H96" s="228">
        <f>Activity!$E97*Activity!$F97*Activity!L97</f>
        <v>0</v>
      </c>
      <c r="I96" s="228">
        <v>0</v>
      </c>
      <c r="J96" s="227">
        <f>Activity!E97*Activity!F97</f>
        <v>2249.1</v>
      </c>
      <c r="K96" s="227">
        <f>Activity!$E97*Activity!$F97*Activity!M97</f>
        <v>629.74800000000005</v>
      </c>
      <c r="L96" s="229">
        <f>Activity!V97</f>
        <v>0</v>
      </c>
    </row>
    <row r="97" spans="2:12" x14ac:dyDescent="0.25">
      <c r="B97" s="203">
        <f t="shared" si="1"/>
        <v>2036</v>
      </c>
      <c r="C97" s="226">
        <f>Activity!$E98*Activity!$F98*Activity!G98</f>
        <v>787.18499999999995</v>
      </c>
      <c r="D97" s="227">
        <f>Activity!$E98*Activity!$F98*Activity!H98</f>
        <v>0</v>
      </c>
      <c r="E97" s="227">
        <f>Activity!$E98*Activity!$F98*Activity!I98</f>
        <v>359.85599999999999</v>
      </c>
      <c r="F97" s="227">
        <f>Activity!$E98*Activity!$F98*Activity!J98</f>
        <v>292.38299999999998</v>
      </c>
      <c r="G97" s="227">
        <f>Activity!$E98*Activity!$F98*Activity!K98</f>
        <v>179.928</v>
      </c>
      <c r="H97" s="228">
        <f>Activity!$E98*Activity!$F98*Activity!L98</f>
        <v>0</v>
      </c>
      <c r="I97" s="228">
        <v>0</v>
      </c>
      <c r="J97" s="227">
        <f>Activity!E98*Activity!F98</f>
        <v>2249.1</v>
      </c>
      <c r="K97" s="227">
        <f>Activity!$E98*Activity!$F98*Activity!M98</f>
        <v>629.74800000000005</v>
      </c>
      <c r="L97" s="229">
        <f>Activity!V98</f>
        <v>0</v>
      </c>
    </row>
    <row r="98" spans="2:12" x14ac:dyDescent="0.25">
      <c r="B98" s="203">
        <f t="shared" si="1"/>
        <v>2037</v>
      </c>
      <c r="C98" s="226">
        <f>Activity!$E99*Activity!$F99*Activity!G99</f>
        <v>787.18499999999995</v>
      </c>
      <c r="D98" s="227">
        <f>Activity!$E99*Activity!$F99*Activity!H99</f>
        <v>0</v>
      </c>
      <c r="E98" s="227">
        <f>Activity!$E99*Activity!$F99*Activity!I99</f>
        <v>359.85599999999999</v>
      </c>
      <c r="F98" s="227">
        <f>Activity!$E99*Activity!$F99*Activity!J99</f>
        <v>292.38299999999998</v>
      </c>
      <c r="G98" s="227">
        <f>Activity!$E99*Activity!$F99*Activity!K99</f>
        <v>179.928</v>
      </c>
      <c r="H98" s="228">
        <f>Activity!$E99*Activity!$F99*Activity!L99</f>
        <v>0</v>
      </c>
      <c r="I98" s="228">
        <v>0</v>
      </c>
      <c r="J98" s="227">
        <f>Activity!E99*Activity!F99</f>
        <v>2249.1</v>
      </c>
      <c r="K98" s="227">
        <f>Activity!$E99*Activity!$F99*Activity!M99</f>
        <v>629.74800000000005</v>
      </c>
      <c r="L98" s="229">
        <f>Activity!V99</f>
        <v>0</v>
      </c>
    </row>
    <row r="99" spans="2:12" x14ac:dyDescent="0.25">
      <c r="B99" s="203">
        <f t="shared" si="1"/>
        <v>2038</v>
      </c>
      <c r="C99" s="226">
        <f>Activity!$E100*Activity!$F100*Activity!G100</f>
        <v>787.18499999999995</v>
      </c>
      <c r="D99" s="227">
        <f>Activity!$E100*Activity!$F100*Activity!H100</f>
        <v>0</v>
      </c>
      <c r="E99" s="227">
        <f>Activity!$E100*Activity!$F100*Activity!I100</f>
        <v>359.85599999999999</v>
      </c>
      <c r="F99" s="227">
        <f>Activity!$E100*Activity!$F100*Activity!J100</f>
        <v>292.38299999999998</v>
      </c>
      <c r="G99" s="227">
        <f>Activity!$E100*Activity!$F100*Activity!K100</f>
        <v>179.928</v>
      </c>
      <c r="H99" s="228">
        <f>Activity!$E100*Activity!$F100*Activity!L100</f>
        <v>0</v>
      </c>
      <c r="I99" s="228">
        <v>0</v>
      </c>
      <c r="J99" s="227">
        <f>Activity!E100*Activity!F100</f>
        <v>2249.1</v>
      </c>
      <c r="K99" s="227">
        <f>Activity!$E100*Activity!$F100*Activity!M100</f>
        <v>629.74800000000005</v>
      </c>
      <c r="L99" s="229">
        <f>Activity!V100</f>
        <v>0</v>
      </c>
    </row>
    <row r="100" spans="2:12" x14ac:dyDescent="0.25">
      <c r="B100" s="203">
        <f t="shared" si="1"/>
        <v>2039</v>
      </c>
      <c r="C100" s="226">
        <f>Activity!$E101*Activity!$F101*Activity!G101</f>
        <v>787.18499999999995</v>
      </c>
      <c r="D100" s="227">
        <f>Activity!$E101*Activity!$F101*Activity!H101</f>
        <v>0</v>
      </c>
      <c r="E100" s="227">
        <f>Activity!$E101*Activity!$F101*Activity!I101</f>
        <v>359.85599999999999</v>
      </c>
      <c r="F100" s="227">
        <f>Activity!$E101*Activity!$F101*Activity!J101</f>
        <v>292.38299999999998</v>
      </c>
      <c r="G100" s="227">
        <f>Activity!$E101*Activity!$F101*Activity!K101</f>
        <v>179.928</v>
      </c>
      <c r="H100" s="228">
        <f>Activity!$E101*Activity!$F101*Activity!L101</f>
        <v>0</v>
      </c>
      <c r="I100" s="228">
        <v>0</v>
      </c>
      <c r="J100" s="227">
        <f>Activity!E101*Activity!F101</f>
        <v>2249.1</v>
      </c>
      <c r="K100" s="227">
        <f>Activity!$E101*Activity!$F101*Activity!M101</f>
        <v>629.74800000000005</v>
      </c>
      <c r="L100" s="229">
        <f>Activity!V101</f>
        <v>0</v>
      </c>
    </row>
    <row r="101" spans="2:12" ht="15.75" thickBot="1" x14ac:dyDescent="0.3">
      <c r="B101" s="208">
        <f t="shared" si="1"/>
        <v>2040</v>
      </c>
      <c r="C101" s="230">
        <f>Activity!$E102*Activity!$F102*Activity!G102</f>
        <v>787.18499999999995</v>
      </c>
      <c r="D101" s="231">
        <f>Activity!$E102*Activity!$F102*Activity!H102</f>
        <v>0</v>
      </c>
      <c r="E101" s="231">
        <f>Activity!$E102*Activity!$F102*Activity!I102</f>
        <v>359.85599999999999</v>
      </c>
      <c r="F101" s="231">
        <f>Activity!$E102*Activity!$F102*Activity!J102</f>
        <v>292.38299999999998</v>
      </c>
      <c r="G101" s="231">
        <f>Activity!$E102*Activity!$F102*Activity!K102</f>
        <v>179.928</v>
      </c>
      <c r="H101" s="232">
        <f>Activity!$E102*Activity!$F102*Activity!L102</f>
        <v>0</v>
      </c>
      <c r="I101" s="232">
        <v>0</v>
      </c>
      <c r="J101" s="231">
        <f>Activity!E102*Activity!F102</f>
        <v>2249.1</v>
      </c>
      <c r="K101" s="231">
        <f>Activity!$E102*Activity!$F102*Activity!M102</f>
        <v>629.74800000000005</v>
      </c>
      <c r="L101" s="233">
        <f>Activity!V102</f>
        <v>0</v>
      </c>
    </row>
  </sheetData>
  <mergeCells count="2">
    <mergeCell ref="G2:L2"/>
    <mergeCell ref="C8:L8"/>
  </mergeCells>
  <dataValidations count="1">
    <dataValidation type="whole" allowBlank="1" showInputMessage="1" showErrorMessage="1" error="Please enter a year between 1900 and 2000"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1900</formula1>
      <formula2>2000</formula2>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FF00"/>
  </sheetPr>
  <dimension ref="A2:G127"/>
  <sheetViews>
    <sheetView workbookViewId="0"/>
  </sheetViews>
  <sheetFormatPr defaultColWidth="8.85546875" defaultRowHeight="15" x14ac:dyDescent="0.25"/>
  <cols>
    <col min="1" max="1" width="3.5703125" style="234" customWidth="1"/>
    <col min="2" max="2" width="11.7109375" style="234" customWidth="1"/>
    <col min="3" max="3" width="12.7109375" style="234" customWidth="1"/>
    <col min="4" max="4" width="31.28515625" style="234" customWidth="1"/>
    <col min="5" max="5" width="10.5703125" style="237" customWidth="1"/>
    <col min="6" max="6" width="10.28515625" style="234" customWidth="1"/>
    <col min="7" max="7" width="38" style="234" customWidth="1"/>
    <col min="8" max="256" width="8.85546875" style="234"/>
    <col min="257" max="257" width="3.5703125" style="234" customWidth="1"/>
    <col min="258" max="258" width="11.7109375" style="234" customWidth="1"/>
    <col min="259" max="259" width="12.7109375" style="234" customWidth="1"/>
    <col min="260" max="260" width="31.28515625" style="234" customWidth="1"/>
    <col min="261" max="261" width="10.5703125" style="234" customWidth="1"/>
    <col min="262" max="262" width="10.28515625" style="234" customWidth="1"/>
    <col min="263" max="263" width="38" style="234" customWidth="1"/>
    <col min="264" max="512" width="8.85546875" style="234"/>
    <col min="513" max="513" width="3.5703125" style="234" customWidth="1"/>
    <col min="514" max="514" width="11.7109375" style="234" customWidth="1"/>
    <col min="515" max="515" width="12.7109375" style="234" customWidth="1"/>
    <col min="516" max="516" width="31.28515625" style="234" customWidth="1"/>
    <col min="517" max="517" width="10.5703125" style="234" customWidth="1"/>
    <col min="518" max="518" width="10.28515625" style="234" customWidth="1"/>
    <col min="519" max="519" width="38" style="234" customWidth="1"/>
    <col min="520" max="768" width="8.85546875" style="234"/>
    <col min="769" max="769" width="3.5703125" style="234" customWidth="1"/>
    <col min="770" max="770" width="11.7109375" style="234" customWidth="1"/>
    <col min="771" max="771" width="12.7109375" style="234" customWidth="1"/>
    <col min="772" max="772" width="31.28515625" style="234" customWidth="1"/>
    <col min="773" max="773" width="10.5703125" style="234" customWidth="1"/>
    <col min="774" max="774" width="10.28515625" style="234" customWidth="1"/>
    <col min="775" max="775" width="38" style="234" customWidth="1"/>
    <col min="776" max="1024" width="8.85546875" style="234"/>
    <col min="1025" max="1025" width="3.5703125" style="234" customWidth="1"/>
    <col min="1026" max="1026" width="11.7109375" style="234" customWidth="1"/>
    <col min="1027" max="1027" width="12.7109375" style="234" customWidth="1"/>
    <col min="1028" max="1028" width="31.28515625" style="234" customWidth="1"/>
    <col min="1029" max="1029" width="10.5703125" style="234" customWidth="1"/>
    <col min="1030" max="1030" width="10.28515625" style="234" customWidth="1"/>
    <col min="1031" max="1031" width="38" style="234" customWidth="1"/>
    <col min="1032" max="1280" width="8.85546875" style="234"/>
    <col min="1281" max="1281" width="3.5703125" style="234" customWidth="1"/>
    <col min="1282" max="1282" width="11.7109375" style="234" customWidth="1"/>
    <col min="1283" max="1283" width="12.7109375" style="234" customWidth="1"/>
    <col min="1284" max="1284" width="31.28515625" style="234" customWidth="1"/>
    <col min="1285" max="1285" width="10.5703125" style="234" customWidth="1"/>
    <col min="1286" max="1286" width="10.28515625" style="234" customWidth="1"/>
    <col min="1287" max="1287" width="38" style="234" customWidth="1"/>
    <col min="1288" max="1536" width="8.85546875" style="234"/>
    <col min="1537" max="1537" width="3.5703125" style="234" customWidth="1"/>
    <col min="1538" max="1538" width="11.7109375" style="234" customWidth="1"/>
    <col min="1539" max="1539" width="12.7109375" style="234" customWidth="1"/>
    <col min="1540" max="1540" width="31.28515625" style="234" customWidth="1"/>
    <col min="1541" max="1541" width="10.5703125" style="234" customWidth="1"/>
    <col min="1542" max="1542" width="10.28515625" style="234" customWidth="1"/>
    <col min="1543" max="1543" width="38" style="234" customWidth="1"/>
    <col min="1544" max="1792" width="8.85546875" style="234"/>
    <col min="1793" max="1793" width="3.5703125" style="234" customWidth="1"/>
    <col min="1794" max="1794" width="11.7109375" style="234" customWidth="1"/>
    <col min="1795" max="1795" width="12.7109375" style="234" customWidth="1"/>
    <col min="1796" max="1796" width="31.28515625" style="234" customWidth="1"/>
    <col min="1797" max="1797" width="10.5703125" style="234" customWidth="1"/>
    <col min="1798" max="1798" width="10.28515625" style="234" customWidth="1"/>
    <col min="1799" max="1799" width="38" style="234" customWidth="1"/>
    <col min="1800" max="2048" width="8.85546875" style="234"/>
    <col min="2049" max="2049" width="3.5703125" style="234" customWidth="1"/>
    <col min="2050" max="2050" width="11.7109375" style="234" customWidth="1"/>
    <col min="2051" max="2051" width="12.7109375" style="234" customWidth="1"/>
    <col min="2052" max="2052" width="31.28515625" style="234" customWidth="1"/>
    <col min="2053" max="2053" width="10.5703125" style="234" customWidth="1"/>
    <col min="2054" max="2054" width="10.28515625" style="234" customWidth="1"/>
    <col min="2055" max="2055" width="38" style="234" customWidth="1"/>
    <col min="2056" max="2304" width="8.85546875" style="234"/>
    <col min="2305" max="2305" width="3.5703125" style="234" customWidth="1"/>
    <col min="2306" max="2306" width="11.7109375" style="234" customWidth="1"/>
    <col min="2307" max="2307" width="12.7109375" style="234" customWidth="1"/>
    <col min="2308" max="2308" width="31.28515625" style="234" customWidth="1"/>
    <col min="2309" max="2309" width="10.5703125" style="234" customWidth="1"/>
    <col min="2310" max="2310" width="10.28515625" style="234" customWidth="1"/>
    <col min="2311" max="2311" width="38" style="234" customWidth="1"/>
    <col min="2312" max="2560" width="8.85546875" style="234"/>
    <col min="2561" max="2561" width="3.5703125" style="234" customWidth="1"/>
    <col min="2562" max="2562" width="11.7109375" style="234" customWidth="1"/>
    <col min="2563" max="2563" width="12.7109375" style="234" customWidth="1"/>
    <col min="2564" max="2564" width="31.28515625" style="234" customWidth="1"/>
    <col min="2565" max="2565" width="10.5703125" style="234" customWidth="1"/>
    <col min="2566" max="2566" width="10.28515625" style="234" customWidth="1"/>
    <col min="2567" max="2567" width="38" style="234" customWidth="1"/>
    <col min="2568" max="2816" width="8.85546875" style="234"/>
    <col min="2817" max="2817" width="3.5703125" style="234" customWidth="1"/>
    <col min="2818" max="2818" width="11.7109375" style="234" customWidth="1"/>
    <col min="2819" max="2819" width="12.7109375" style="234" customWidth="1"/>
    <col min="2820" max="2820" width="31.28515625" style="234" customWidth="1"/>
    <col min="2821" max="2821" width="10.5703125" style="234" customWidth="1"/>
    <col min="2822" max="2822" width="10.28515625" style="234" customWidth="1"/>
    <col min="2823" max="2823" width="38" style="234" customWidth="1"/>
    <col min="2824" max="3072" width="8.85546875" style="234"/>
    <col min="3073" max="3073" width="3.5703125" style="234" customWidth="1"/>
    <col min="3074" max="3074" width="11.7109375" style="234" customWidth="1"/>
    <col min="3075" max="3075" width="12.7109375" style="234" customWidth="1"/>
    <col min="3076" max="3076" width="31.28515625" style="234" customWidth="1"/>
    <col min="3077" max="3077" width="10.5703125" style="234" customWidth="1"/>
    <col min="3078" max="3078" width="10.28515625" style="234" customWidth="1"/>
    <col min="3079" max="3079" width="38" style="234" customWidth="1"/>
    <col min="3080" max="3328" width="8.85546875" style="234"/>
    <col min="3329" max="3329" width="3.5703125" style="234" customWidth="1"/>
    <col min="3330" max="3330" width="11.7109375" style="234" customWidth="1"/>
    <col min="3331" max="3331" width="12.7109375" style="234" customWidth="1"/>
    <col min="3332" max="3332" width="31.28515625" style="234" customWidth="1"/>
    <col min="3333" max="3333" width="10.5703125" style="234" customWidth="1"/>
    <col min="3334" max="3334" width="10.28515625" style="234" customWidth="1"/>
    <col min="3335" max="3335" width="38" style="234" customWidth="1"/>
    <col min="3336" max="3584" width="8.85546875" style="234"/>
    <col min="3585" max="3585" width="3.5703125" style="234" customWidth="1"/>
    <col min="3586" max="3586" width="11.7109375" style="234" customWidth="1"/>
    <col min="3587" max="3587" width="12.7109375" style="234" customWidth="1"/>
    <col min="3588" max="3588" width="31.28515625" style="234" customWidth="1"/>
    <col min="3589" max="3589" width="10.5703125" style="234" customWidth="1"/>
    <col min="3590" max="3590" width="10.28515625" style="234" customWidth="1"/>
    <col min="3591" max="3591" width="38" style="234" customWidth="1"/>
    <col min="3592" max="3840" width="8.85546875" style="234"/>
    <col min="3841" max="3841" width="3.5703125" style="234" customWidth="1"/>
    <col min="3842" max="3842" width="11.7109375" style="234" customWidth="1"/>
    <col min="3843" max="3843" width="12.7109375" style="234" customWidth="1"/>
    <col min="3844" max="3844" width="31.28515625" style="234" customWidth="1"/>
    <col min="3845" max="3845" width="10.5703125" style="234" customWidth="1"/>
    <col min="3846" max="3846" width="10.28515625" style="234" customWidth="1"/>
    <col min="3847" max="3847" width="38" style="234" customWidth="1"/>
    <col min="3848" max="4096" width="8.85546875" style="234"/>
    <col min="4097" max="4097" width="3.5703125" style="234" customWidth="1"/>
    <col min="4098" max="4098" width="11.7109375" style="234" customWidth="1"/>
    <col min="4099" max="4099" width="12.7109375" style="234" customWidth="1"/>
    <col min="4100" max="4100" width="31.28515625" style="234" customWidth="1"/>
    <col min="4101" max="4101" width="10.5703125" style="234" customWidth="1"/>
    <col min="4102" max="4102" width="10.28515625" style="234" customWidth="1"/>
    <col min="4103" max="4103" width="38" style="234" customWidth="1"/>
    <col min="4104" max="4352" width="8.85546875" style="234"/>
    <col min="4353" max="4353" width="3.5703125" style="234" customWidth="1"/>
    <col min="4354" max="4354" width="11.7109375" style="234" customWidth="1"/>
    <col min="4355" max="4355" width="12.7109375" style="234" customWidth="1"/>
    <col min="4356" max="4356" width="31.28515625" style="234" customWidth="1"/>
    <col min="4357" max="4357" width="10.5703125" style="234" customWidth="1"/>
    <col min="4358" max="4358" width="10.28515625" style="234" customWidth="1"/>
    <col min="4359" max="4359" width="38" style="234" customWidth="1"/>
    <col min="4360" max="4608" width="8.85546875" style="234"/>
    <col min="4609" max="4609" width="3.5703125" style="234" customWidth="1"/>
    <col min="4610" max="4610" width="11.7109375" style="234" customWidth="1"/>
    <col min="4611" max="4611" width="12.7109375" style="234" customWidth="1"/>
    <col min="4612" max="4612" width="31.28515625" style="234" customWidth="1"/>
    <col min="4613" max="4613" width="10.5703125" style="234" customWidth="1"/>
    <col min="4614" max="4614" width="10.28515625" style="234" customWidth="1"/>
    <col min="4615" max="4615" width="38" style="234" customWidth="1"/>
    <col min="4616" max="4864" width="8.85546875" style="234"/>
    <col min="4865" max="4865" width="3.5703125" style="234" customWidth="1"/>
    <col min="4866" max="4866" width="11.7109375" style="234" customWidth="1"/>
    <col min="4867" max="4867" width="12.7109375" style="234" customWidth="1"/>
    <col min="4868" max="4868" width="31.28515625" style="234" customWidth="1"/>
    <col min="4869" max="4869" width="10.5703125" style="234" customWidth="1"/>
    <col min="4870" max="4870" width="10.28515625" style="234" customWidth="1"/>
    <col min="4871" max="4871" width="38" style="234" customWidth="1"/>
    <col min="4872" max="5120" width="8.85546875" style="234"/>
    <col min="5121" max="5121" width="3.5703125" style="234" customWidth="1"/>
    <col min="5122" max="5122" width="11.7109375" style="234" customWidth="1"/>
    <col min="5123" max="5123" width="12.7109375" style="234" customWidth="1"/>
    <col min="5124" max="5124" width="31.28515625" style="234" customWidth="1"/>
    <col min="5125" max="5125" width="10.5703125" style="234" customWidth="1"/>
    <col min="5126" max="5126" width="10.28515625" style="234" customWidth="1"/>
    <col min="5127" max="5127" width="38" style="234" customWidth="1"/>
    <col min="5128" max="5376" width="8.85546875" style="234"/>
    <col min="5377" max="5377" width="3.5703125" style="234" customWidth="1"/>
    <col min="5378" max="5378" width="11.7109375" style="234" customWidth="1"/>
    <col min="5379" max="5379" width="12.7109375" style="234" customWidth="1"/>
    <col min="5380" max="5380" width="31.28515625" style="234" customWidth="1"/>
    <col min="5381" max="5381" width="10.5703125" style="234" customWidth="1"/>
    <col min="5382" max="5382" width="10.28515625" style="234" customWidth="1"/>
    <col min="5383" max="5383" width="38" style="234" customWidth="1"/>
    <col min="5384" max="5632" width="8.85546875" style="234"/>
    <col min="5633" max="5633" width="3.5703125" style="234" customWidth="1"/>
    <col min="5634" max="5634" width="11.7109375" style="234" customWidth="1"/>
    <col min="5635" max="5635" width="12.7109375" style="234" customWidth="1"/>
    <col min="5636" max="5636" width="31.28515625" style="234" customWidth="1"/>
    <col min="5637" max="5637" width="10.5703125" style="234" customWidth="1"/>
    <col min="5638" max="5638" width="10.28515625" style="234" customWidth="1"/>
    <col min="5639" max="5639" width="38" style="234" customWidth="1"/>
    <col min="5640" max="5888" width="8.85546875" style="234"/>
    <col min="5889" max="5889" width="3.5703125" style="234" customWidth="1"/>
    <col min="5890" max="5890" width="11.7109375" style="234" customWidth="1"/>
    <col min="5891" max="5891" width="12.7109375" style="234" customWidth="1"/>
    <col min="5892" max="5892" width="31.28515625" style="234" customWidth="1"/>
    <col min="5893" max="5893" width="10.5703125" style="234" customWidth="1"/>
    <col min="5894" max="5894" width="10.28515625" style="234" customWidth="1"/>
    <col min="5895" max="5895" width="38" style="234" customWidth="1"/>
    <col min="5896" max="6144" width="8.85546875" style="234"/>
    <col min="6145" max="6145" width="3.5703125" style="234" customWidth="1"/>
    <col min="6146" max="6146" width="11.7109375" style="234" customWidth="1"/>
    <col min="6147" max="6147" width="12.7109375" style="234" customWidth="1"/>
    <col min="6148" max="6148" width="31.28515625" style="234" customWidth="1"/>
    <col min="6149" max="6149" width="10.5703125" style="234" customWidth="1"/>
    <col min="6150" max="6150" width="10.28515625" style="234" customWidth="1"/>
    <col min="6151" max="6151" width="38" style="234" customWidth="1"/>
    <col min="6152" max="6400" width="8.85546875" style="234"/>
    <col min="6401" max="6401" width="3.5703125" style="234" customWidth="1"/>
    <col min="6402" max="6402" width="11.7109375" style="234" customWidth="1"/>
    <col min="6403" max="6403" width="12.7109375" style="234" customWidth="1"/>
    <col min="6404" max="6404" width="31.28515625" style="234" customWidth="1"/>
    <col min="6405" max="6405" width="10.5703125" style="234" customWidth="1"/>
    <col min="6406" max="6406" width="10.28515625" style="234" customWidth="1"/>
    <col min="6407" max="6407" width="38" style="234" customWidth="1"/>
    <col min="6408" max="6656" width="8.85546875" style="234"/>
    <col min="6657" max="6657" width="3.5703125" style="234" customWidth="1"/>
    <col min="6658" max="6658" width="11.7109375" style="234" customWidth="1"/>
    <col min="6659" max="6659" width="12.7109375" style="234" customWidth="1"/>
    <col min="6660" max="6660" width="31.28515625" style="234" customWidth="1"/>
    <col min="6661" max="6661" width="10.5703125" style="234" customWidth="1"/>
    <col min="6662" max="6662" width="10.28515625" style="234" customWidth="1"/>
    <col min="6663" max="6663" width="38" style="234" customWidth="1"/>
    <col min="6664" max="6912" width="8.85546875" style="234"/>
    <col min="6913" max="6913" width="3.5703125" style="234" customWidth="1"/>
    <col min="6914" max="6914" width="11.7109375" style="234" customWidth="1"/>
    <col min="6915" max="6915" width="12.7109375" style="234" customWidth="1"/>
    <col min="6916" max="6916" width="31.28515625" style="234" customWidth="1"/>
    <col min="6917" max="6917" width="10.5703125" style="234" customWidth="1"/>
    <col min="6918" max="6918" width="10.28515625" style="234" customWidth="1"/>
    <col min="6919" max="6919" width="38" style="234" customWidth="1"/>
    <col min="6920" max="7168" width="8.85546875" style="234"/>
    <col min="7169" max="7169" width="3.5703125" style="234" customWidth="1"/>
    <col min="7170" max="7170" width="11.7109375" style="234" customWidth="1"/>
    <col min="7171" max="7171" width="12.7109375" style="234" customWidth="1"/>
    <col min="7172" max="7172" width="31.28515625" style="234" customWidth="1"/>
    <col min="7173" max="7173" width="10.5703125" style="234" customWidth="1"/>
    <col min="7174" max="7174" width="10.28515625" style="234" customWidth="1"/>
    <col min="7175" max="7175" width="38" style="234" customWidth="1"/>
    <col min="7176" max="7424" width="8.85546875" style="234"/>
    <col min="7425" max="7425" width="3.5703125" style="234" customWidth="1"/>
    <col min="7426" max="7426" width="11.7109375" style="234" customWidth="1"/>
    <col min="7427" max="7427" width="12.7109375" style="234" customWidth="1"/>
    <col min="7428" max="7428" width="31.28515625" style="234" customWidth="1"/>
    <col min="7429" max="7429" width="10.5703125" style="234" customWidth="1"/>
    <col min="7430" max="7430" width="10.28515625" style="234" customWidth="1"/>
    <col min="7431" max="7431" width="38" style="234" customWidth="1"/>
    <col min="7432" max="7680" width="8.85546875" style="234"/>
    <col min="7681" max="7681" width="3.5703125" style="234" customWidth="1"/>
    <col min="7682" max="7682" width="11.7109375" style="234" customWidth="1"/>
    <col min="7683" max="7683" width="12.7109375" style="234" customWidth="1"/>
    <col min="7684" max="7684" width="31.28515625" style="234" customWidth="1"/>
    <col min="7685" max="7685" width="10.5703125" style="234" customWidth="1"/>
    <col min="7686" max="7686" width="10.28515625" style="234" customWidth="1"/>
    <col min="7687" max="7687" width="38" style="234" customWidth="1"/>
    <col min="7688" max="7936" width="8.85546875" style="234"/>
    <col min="7937" max="7937" width="3.5703125" style="234" customWidth="1"/>
    <col min="7938" max="7938" width="11.7109375" style="234" customWidth="1"/>
    <col min="7939" max="7939" width="12.7109375" style="234" customWidth="1"/>
    <col min="7940" max="7940" width="31.28515625" style="234" customWidth="1"/>
    <col min="7941" max="7941" width="10.5703125" style="234" customWidth="1"/>
    <col min="7942" max="7942" width="10.28515625" style="234" customWidth="1"/>
    <col min="7943" max="7943" width="38" style="234" customWidth="1"/>
    <col min="7944" max="8192" width="8.85546875" style="234"/>
    <col min="8193" max="8193" width="3.5703125" style="234" customWidth="1"/>
    <col min="8194" max="8194" width="11.7109375" style="234" customWidth="1"/>
    <col min="8195" max="8195" width="12.7109375" style="234" customWidth="1"/>
    <col min="8196" max="8196" width="31.28515625" style="234" customWidth="1"/>
    <col min="8197" max="8197" width="10.5703125" style="234" customWidth="1"/>
    <col min="8198" max="8198" width="10.28515625" style="234" customWidth="1"/>
    <col min="8199" max="8199" width="38" style="234" customWidth="1"/>
    <col min="8200" max="8448" width="8.85546875" style="234"/>
    <col min="8449" max="8449" width="3.5703125" style="234" customWidth="1"/>
    <col min="8450" max="8450" width="11.7109375" style="234" customWidth="1"/>
    <col min="8451" max="8451" width="12.7109375" style="234" customWidth="1"/>
    <col min="8452" max="8452" width="31.28515625" style="234" customWidth="1"/>
    <col min="8453" max="8453" width="10.5703125" style="234" customWidth="1"/>
    <col min="8454" max="8454" width="10.28515625" style="234" customWidth="1"/>
    <col min="8455" max="8455" width="38" style="234" customWidth="1"/>
    <col min="8456" max="8704" width="8.85546875" style="234"/>
    <col min="8705" max="8705" width="3.5703125" style="234" customWidth="1"/>
    <col min="8706" max="8706" width="11.7109375" style="234" customWidth="1"/>
    <col min="8707" max="8707" width="12.7109375" style="234" customWidth="1"/>
    <col min="8708" max="8708" width="31.28515625" style="234" customWidth="1"/>
    <col min="8709" max="8709" width="10.5703125" style="234" customWidth="1"/>
    <col min="8710" max="8710" width="10.28515625" style="234" customWidth="1"/>
    <col min="8711" max="8711" width="38" style="234" customWidth="1"/>
    <col min="8712" max="8960" width="8.85546875" style="234"/>
    <col min="8961" max="8961" width="3.5703125" style="234" customWidth="1"/>
    <col min="8962" max="8962" width="11.7109375" style="234" customWidth="1"/>
    <col min="8963" max="8963" width="12.7109375" style="234" customWidth="1"/>
    <col min="8964" max="8964" width="31.28515625" style="234" customWidth="1"/>
    <col min="8965" max="8965" width="10.5703125" style="234" customWidth="1"/>
    <col min="8966" max="8966" width="10.28515625" style="234" customWidth="1"/>
    <col min="8967" max="8967" width="38" style="234" customWidth="1"/>
    <col min="8968" max="9216" width="8.85546875" style="234"/>
    <col min="9217" max="9217" width="3.5703125" style="234" customWidth="1"/>
    <col min="9218" max="9218" width="11.7109375" style="234" customWidth="1"/>
    <col min="9219" max="9219" width="12.7109375" style="234" customWidth="1"/>
    <col min="9220" max="9220" width="31.28515625" style="234" customWidth="1"/>
    <col min="9221" max="9221" width="10.5703125" style="234" customWidth="1"/>
    <col min="9222" max="9222" width="10.28515625" style="234" customWidth="1"/>
    <col min="9223" max="9223" width="38" style="234" customWidth="1"/>
    <col min="9224" max="9472" width="8.85546875" style="234"/>
    <col min="9473" max="9473" width="3.5703125" style="234" customWidth="1"/>
    <col min="9474" max="9474" width="11.7109375" style="234" customWidth="1"/>
    <col min="9475" max="9475" width="12.7109375" style="234" customWidth="1"/>
    <col min="9476" max="9476" width="31.28515625" style="234" customWidth="1"/>
    <col min="9477" max="9477" width="10.5703125" style="234" customWidth="1"/>
    <col min="9478" max="9478" width="10.28515625" style="234" customWidth="1"/>
    <col min="9479" max="9479" width="38" style="234" customWidth="1"/>
    <col min="9480" max="9728" width="8.85546875" style="234"/>
    <col min="9729" max="9729" width="3.5703125" style="234" customWidth="1"/>
    <col min="9730" max="9730" width="11.7109375" style="234" customWidth="1"/>
    <col min="9731" max="9731" width="12.7109375" style="234" customWidth="1"/>
    <col min="9732" max="9732" width="31.28515625" style="234" customWidth="1"/>
    <col min="9733" max="9733" width="10.5703125" style="234" customWidth="1"/>
    <col min="9734" max="9734" width="10.28515625" style="234" customWidth="1"/>
    <col min="9735" max="9735" width="38" style="234" customWidth="1"/>
    <col min="9736" max="9984" width="8.85546875" style="234"/>
    <col min="9985" max="9985" width="3.5703125" style="234" customWidth="1"/>
    <col min="9986" max="9986" width="11.7109375" style="234" customWidth="1"/>
    <col min="9987" max="9987" width="12.7109375" style="234" customWidth="1"/>
    <col min="9988" max="9988" width="31.28515625" style="234" customWidth="1"/>
    <col min="9989" max="9989" width="10.5703125" style="234" customWidth="1"/>
    <col min="9990" max="9990" width="10.28515625" style="234" customWidth="1"/>
    <col min="9991" max="9991" width="38" style="234" customWidth="1"/>
    <col min="9992" max="10240" width="8.85546875" style="234"/>
    <col min="10241" max="10241" width="3.5703125" style="234" customWidth="1"/>
    <col min="10242" max="10242" width="11.7109375" style="234" customWidth="1"/>
    <col min="10243" max="10243" width="12.7109375" style="234" customWidth="1"/>
    <col min="10244" max="10244" width="31.28515625" style="234" customWidth="1"/>
    <col min="10245" max="10245" width="10.5703125" style="234" customWidth="1"/>
    <col min="10246" max="10246" width="10.28515625" style="234" customWidth="1"/>
    <col min="10247" max="10247" width="38" style="234" customWidth="1"/>
    <col min="10248" max="10496" width="8.85546875" style="234"/>
    <col min="10497" max="10497" width="3.5703125" style="234" customWidth="1"/>
    <col min="10498" max="10498" width="11.7109375" style="234" customWidth="1"/>
    <col min="10499" max="10499" width="12.7109375" style="234" customWidth="1"/>
    <col min="10500" max="10500" width="31.28515625" style="234" customWidth="1"/>
    <col min="10501" max="10501" width="10.5703125" style="234" customWidth="1"/>
    <col min="10502" max="10502" width="10.28515625" style="234" customWidth="1"/>
    <col min="10503" max="10503" width="38" style="234" customWidth="1"/>
    <col min="10504" max="10752" width="8.85546875" style="234"/>
    <col min="10753" max="10753" width="3.5703125" style="234" customWidth="1"/>
    <col min="10754" max="10754" width="11.7109375" style="234" customWidth="1"/>
    <col min="10755" max="10755" width="12.7109375" style="234" customWidth="1"/>
    <col min="10756" max="10756" width="31.28515625" style="234" customWidth="1"/>
    <col min="10757" max="10757" width="10.5703125" style="234" customWidth="1"/>
    <col min="10758" max="10758" width="10.28515625" style="234" customWidth="1"/>
    <col min="10759" max="10759" width="38" style="234" customWidth="1"/>
    <col min="10760" max="11008" width="8.85546875" style="234"/>
    <col min="11009" max="11009" width="3.5703125" style="234" customWidth="1"/>
    <col min="11010" max="11010" width="11.7109375" style="234" customWidth="1"/>
    <col min="11011" max="11011" width="12.7109375" style="234" customWidth="1"/>
    <col min="11012" max="11012" width="31.28515625" style="234" customWidth="1"/>
    <col min="11013" max="11013" width="10.5703125" style="234" customWidth="1"/>
    <col min="11014" max="11014" width="10.28515625" style="234" customWidth="1"/>
    <col min="11015" max="11015" width="38" style="234" customWidth="1"/>
    <col min="11016" max="11264" width="8.85546875" style="234"/>
    <col min="11265" max="11265" width="3.5703125" style="234" customWidth="1"/>
    <col min="11266" max="11266" width="11.7109375" style="234" customWidth="1"/>
    <col min="11267" max="11267" width="12.7109375" style="234" customWidth="1"/>
    <col min="11268" max="11268" width="31.28515625" style="234" customWidth="1"/>
    <col min="11269" max="11269" width="10.5703125" style="234" customWidth="1"/>
    <col min="11270" max="11270" width="10.28515625" style="234" customWidth="1"/>
    <col min="11271" max="11271" width="38" style="234" customWidth="1"/>
    <col min="11272" max="11520" width="8.85546875" style="234"/>
    <col min="11521" max="11521" width="3.5703125" style="234" customWidth="1"/>
    <col min="11522" max="11522" width="11.7109375" style="234" customWidth="1"/>
    <col min="11523" max="11523" width="12.7109375" style="234" customWidth="1"/>
    <col min="11524" max="11524" width="31.28515625" style="234" customWidth="1"/>
    <col min="11525" max="11525" width="10.5703125" style="234" customWidth="1"/>
    <col min="11526" max="11526" width="10.28515625" style="234" customWidth="1"/>
    <col min="11527" max="11527" width="38" style="234" customWidth="1"/>
    <col min="11528" max="11776" width="8.85546875" style="234"/>
    <col min="11777" max="11777" width="3.5703125" style="234" customWidth="1"/>
    <col min="11778" max="11778" width="11.7109375" style="234" customWidth="1"/>
    <col min="11779" max="11779" width="12.7109375" style="234" customWidth="1"/>
    <col min="11780" max="11780" width="31.28515625" style="234" customWidth="1"/>
    <col min="11781" max="11781" width="10.5703125" style="234" customWidth="1"/>
    <col min="11782" max="11782" width="10.28515625" style="234" customWidth="1"/>
    <col min="11783" max="11783" width="38" style="234" customWidth="1"/>
    <col min="11784" max="12032" width="8.85546875" style="234"/>
    <col min="12033" max="12033" width="3.5703125" style="234" customWidth="1"/>
    <col min="12034" max="12034" width="11.7109375" style="234" customWidth="1"/>
    <col min="12035" max="12035" width="12.7109375" style="234" customWidth="1"/>
    <col min="12036" max="12036" width="31.28515625" style="234" customWidth="1"/>
    <col min="12037" max="12037" width="10.5703125" style="234" customWidth="1"/>
    <col min="12038" max="12038" width="10.28515625" style="234" customWidth="1"/>
    <col min="12039" max="12039" width="38" style="234" customWidth="1"/>
    <col min="12040" max="12288" width="8.85546875" style="234"/>
    <col min="12289" max="12289" width="3.5703125" style="234" customWidth="1"/>
    <col min="12290" max="12290" width="11.7109375" style="234" customWidth="1"/>
    <col min="12291" max="12291" width="12.7109375" style="234" customWidth="1"/>
    <col min="12292" max="12292" width="31.28515625" style="234" customWidth="1"/>
    <col min="12293" max="12293" width="10.5703125" style="234" customWidth="1"/>
    <col min="12294" max="12294" width="10.28515625" style="234" customWidth="1"/>
    <col min="12295" max="12295" width="38" style="234" customWidth="1"/>
    <col min="12296" max="12544" width="8.85546875" style="234"/>
    <col min="12545" max="12545" width="3.5703125" style="234" customWidth="1"/>
    <col min="12546" max="12546" width="11.7109375" style="234" customWidth="1"/>
    <col min="12547" max="12547" width="12.7109375" style="234" customWidth="1"/>
    <col min="12548" max="12548" width="31.28515625" style="234" customWidth="1"/>
    <col min="12549" max="12549" width="10.5703125" style="234" customWidth="1"/>
    <col min="12550" max="12550" width="10.28515625" style="234" customWidth="1"/>
    <col min="12551" max="12551" width="38" style="234" customWidth="1"/>
    <col min="12552" max="12800" width="8.85546875" style="234"/>
    <col min="12801" max="12801" width="3.5703125" style="234" customWidth="1"/>
    <col min="12802" max="12802" width="11.7109375" style="234" customWidth="1"/>
    <col min="12803" max="12803" width="12.7109375" style="234" customWidth="1"/>
    <col min="12804" max="12804" width="31.28515625" style="234" customWidth="1"/>
    <col min="12805" max="12805" width="10.5703125" style="234" customWidth="1"/>
    <col min="12806" max="12806" width="10.28515625" style="234" customWidth="1"/>
    <col min="12807" max="12807" width="38" style="234" customWidth="1"/>
    <col min="12808" max="13056" width="8.85546875" style="234"/>
    <col min="13057" max="13057" width="3.5703125" style="234" customWidth="1"/>
    <col min="13058" max="13058" width="11.7109375" style="234" customWidth="1"/>
    <col min="13059" max="13059" width="12.7109375" style="234" customWidth="1"/>
    <col min="13060" max="13060" width="31.28515625" style="234" customWidth="1"/>
    <col min="13061" max="13061" width="10.5703125" style="234" customWidth="1"/>
    <col min="13062" max="13062" width="10.28515625" style="234" customWidth="1"/>
    <col min="13063" max="13063" width="38" style="234" customWidth="1"/>
    <col min="13064" max="13312" width="8.85546875" style="234"/>
    <col min="13313" max="13313" width="3.5703125" style="234" customWidth="1"/>
    <col min="13314" max="13314" width="11.7109375" style="234" customWidth="1"/>
    <col min="13315" max="13315" width="12.7109375" style="234" customWidth="1"/>
    <col min="13316" max="13316" width="31.28515625" style="234" customWidth="1"/>
    <col min="13317" max="13317" width="10.5703125" style="234" customWidth="1"/>
    <col min="13318" max="13318" width="10.28515625" style="234" customWidth="1"/>
    <col min="13319" max="13319" width="38" style="234" customWidth="1"/>
    <col min="13320" max="13568" width="8.85546875" style="234"/>
    <col min="13569" max="13569" width="3.5703125" style="234" customWidth="1"/>
    <col min="13570" max="13570" width="11.7109375" style="234" customWidth="1"/>
    <col min="13571" max="13571" width="12.7109375" style="234" customWidth="1"/>
    <col min="13572" max="13572" width="31.28515625" style="234" customWidth="1"/>
    <col min="13573" max="13573" width="10.5703125" style="234" customWidth="1"/>
    <col min="13574" max="13574" width="10.28515625" style="234" customWidth="1"/>
    <col min="13575" max="13575" width="38" style="234" customWidth="1"/>
    <col min="13576" max="13824" width="8.85546875" style="234"/>
    <col min="13825" max="13825" width="3.5703125" style="234" customWidth="1"/>
    <col min="13826" max="13826" width="11.7109375" style="234" customWidth="1"/>
    <col min="13827" max="13827" width="12.7109375" style="234" customWidth="1"/>
    <col min="13828" max="13828" width="31.28515625" style="234" customWidth="1"/>
    <col min="13829" max="13829" width="10.5703125" style="234" customWidth="1"/>
    <col min="13830" max="13830" width="10.28515625" style="234" customWidth="1"/>
    <col min="13831" max="13831" width="38" style="234" customWidth="1"/>
    <col min="13832" max="14080" width="8.85546875" style="234"/>
    <col min="14081" max="14081" width="3.5703125" style="234" customWidth="1"/>
    <col min="14082" max="14082" width="11.7109375" style="234" customWidth="1"/>
    <col min="14083" max="14083" width="12.7109375" style="234" customWidth="1"/>
    <col min="14084" max="14084" width="31.28515625" style="234" customWidth="1"/>
    <col min="14085" max="14085" width="10.5703125" style="234" customWidth="1"/>
    <col min="14086" max="14086" width="10.28515625" style="234" customWidth="1"/>
    <col min="14087" max="14087" width="38" style="234" customWidth="1"/>
    <col min="14088" max="14336" width="8.85546875" style="234"/>
    <col min="14337" max="14337" width="3.5703125" style="234" customWidth="1"/>
    <col min="14338" max="14338" width="11.7109375" style="234" customWidth="1"/>
    <col min="14339" max="14339" width="12.7109375" style="234" customWidth="1"/>
    <col min="14340" max="14340" width="31.28515625" style="234" customWidth="1"/>
    <col min="14341" max="14341" width="10.5703125" style="234" customWidth="1"/>
    <col min="14342" max="14342" width="10.28515625" style="234" customWidth="1"/>
    <col min="14343" max="14343" width="38" style="234" customWidth="1"/>
    <col min="14344" max="14592" width="8.85546875" style="234"/>
    <col min="14593" max="14593" width="3.5703125" style="234" customWidth="1"/>
    <col min="14594" max="14594" width="11.7109375" style="234" customWidth="1"/>
    <col min="14595" max="14595" width="12.7109375" style="234" customWidth="1"/>
    <col min="14596" max="14596" width="31.28515625" style="234" customWidth="1"/>
    <col min="14597" max="14597" width="10.5703125" style="234" customWidth="1"/>
    <col min="14598" max="14598" width="10.28515625" style="234" customWidth="1"/>
    <col min="14599" max="14599" width="38" style="234" customWidth="1"/>
    <col min="14600" max="14848" width="8.85546875" style="234"/>
    <col min="14849" max="14849" width="3.5703125" style="234" customWidth="1"/>
    <col min="14850" max="14850" width="11.7109375" style="234" customWidth="1"/>
    <col min="14851" max="14851" width="12.7109375" style="234" customWidth="1"/>
    <col min="14852" max="14852" width="31.28515625" style="234" customWidth="1"/>
    <col min="14853" max="14853" width="10.5703125" style="234" customWidth="1"/>
    <col min="14854" max="14854" width="10.28515625" style="234" customWidth="1"/>
    <col min="14855" max="14855" width="38" style="234" customWidth="1"/>
    <col min="14856" max="15104" width="8.85546875" style="234"/>
    <col min="15105" max="15105" width="3.5703125" style="234" customWidth="1"/>
    <col min="15106" max="15106" width="11.7109375" style="234" customWidth="1"/>
    <col min="15107" max="15107" width="12.7109375" style="234" customWidth="1"/>
    <col min="15108" max="15108" width="31.28515625" style="234" customWidth="1"/>
    <col min="15109" max="15109" width="10.5703125" style="234" customWidth="1"/>
    <col min="15110" max="15110" width="10.28515625" style="234" customWidth="1"/>
    <col min="15111" max="15111" width="38" style="234" customWidth="1"/>
    <col min="15112" max="15360" width="8.85546875" style="234"/>
    <col min="15361" max="15361" width="3.5703125" style="234" customWidth="1"/>
    <col min="15362" max="15362" width="11.7109375" style="234" customWidth="1"/>
    <col min="15363" max="15363" width="12.7109375" style="234" customWidth="1"/>
    <col min="15364" max="15364" width="31.28515625" style="234" customWidth="1"/>
    <col min="15365" max="15365" width="10.5703125" style="234" customWidth="1"/>
    <col min="15366" max="15366" width="10.28515625" style="234" customWidth="1"/>
    <col min="15367" max="15367" width="38" style="234" customWidth="1"/>
    <col min="15368" max="15616" width="8.85546875" style="234"/>
    <col min="15617" max="15617" width="3.5703125" style="234" customWidth="1"/>
    <col min="15618" max="15618" width="11.7109375" style="234" customWidth="1"/>
    <col min="15619" max="15619" width="12.7109375" style="234" customWidth="1"/>
    <col min="15620" max="15620" width="31.28515625" style="234" customWidth="1"/>
    <col min="15621" max="15621" width="10.5703125" style="234" customWidth="1"/>
    <col min="15622" max="15622" width="10.28515625" style="234" customWidth="1"/>
    <col min="15623" max="15623" width="38" style="234" customWidth="1"/>
    <col min="15624" max="15872" width="8.85546875" style="234"/>
    <col min="15873" max="15873" width="3.5703125" style="234" customWidth="1"/>
    <col min="15874" max="15874" width="11.7109375" style="234" customWidth="1"/>
    <col min="15875" max="15875" width="12.7109375" style="234" customWidth="1"/>
    <col min="15876" max="15876" width="31.28515625" style="234" customWidth="1"/>
    <col min="15877" max="15877" width="10.5703125" style="234" customWidth="1"/>
    <col min="15878" max="15878" width="10.28515625" style="234" customWidth="1"/>
    <col min="15879" max="15879" width="38" style="234" customWidth="1"/>
    <col min="15880" max="16128" width="8.85546875" style="234"/>
    <col min="16129" max="16129" width="3.5703125" style="234" customWidth="1"/>
    <col min="16130" max="16130" width="11.7109375" style="234" customWidth="1"/>
    <col min="16131" max="16131" width="12.7109375" style="234" customWidth="1"/>
    <col min="16132" max="16132" width="31.28515625" style="234" customWidth="1"/>
    <col min="16133" max="16133" width="10.5703125" style="234" customWidth="1"/>
    <col min="16134" max="16134" width="10.28515625" style="234" customWidth="1"/>
    <col min="16135" max="16135" width="38" style="234" customWidth="1"/>
    <col min="16136" max="16384" width="8.85546875" style="234"/>
  </cols>
  <sheetData>
    <row r="2" spans="1:7" ht="15.75" x14ac:dyDescent="0.25">
      <c r="C2" s="235" t="s">
        <v>104</v>
      </c>
      <c r="D2" s="235"/>
      <c r="E2" s="236"/>
    </row>
    <row r="4" spans="1:7" x14ac:dyDescent="0.25">
      <c r="C4" s="234" t="s">
        <v>105</v>
      </c>
    </row>
    <row r="5" spans="1:7" x14ac:dyDescent="0.25">
      <c r="C5" s="234" t="s">
        <v>106</v>
      </c>
    </row>
    <row r="6" spans="1:7" ht="15.75" thickBot="1" x14ac:dyDescent="0.3"/>
    <row r="7" spans="1:7" ht="52.5" thickBot="1" x14ac:dyDescent="0.3">
      <c r="A7" s="238"/>
      <c r="B7" s="239"/>
      <c r="C7" s="240" t="s">
        <v>107</v>
      </c>
      <c r="D7" s="241" t="s">
        <v>57</v>
      </c>
      <c r="E7" s="242" t="s">
        <v>108</v>
      </c>
      <c r="F7" s="243" t="s">
        <v>109</v>
      </c>
      <c r="G7" s="244" t="s">
        <v>110</v>
      </c>
    </row>
    <row r="8" spans="1:7" ht="15.75" thickBot="1" x14ac:dyDescent="0.3">
      <c r="A8" s="245"/>
      <c r="B8" s="246"/>
      <c r="C8" s="247"/>
      <c r="D8" s="248"/>
      <c r="E8" s="249"/>
      <c r="F8" s="250"/>
      <c r="G8" s="251"/>
    </row>
    <row r="9" spans="1:7" ht="30.75" thickBot="1" x14ac:dyDescent="0.3">
      <c r="A9" s="245"/>
      <c r="B9" s="252" t="s">
        <v>61</v>
      </c>
      <c r="C9" s="253">
        <v>0</v>
      </c>
      <c r="D9" s="254"/>
      <c r="E9" s="255"/>
      <c r="F9" s="256">
        <v>0</v>
      </c>
      <c r="G9" s="257"/>
    </row>
    <row r="10" spans="1:7" x14ac:dyDescent="0.25">
      <c r="A10" s="245"/>
      <c r="B10" s="246"/>
      <c r="C10" s="247"/>
      <c r="D10" s="258"/>
      <c r="E10" s="259"/>
      <c r="F10" s="260"/>
      <c r="G10" s="261"/>
    </row>
    <row r="11" spans="1:7" ht="15.75" thickBot="1" x14ac:dyDescent="0.3">
      <c r="A11" s="245"/>
      <c r="B11" s="262" t="s">
        <v>66</v>
      </c>
      <c r="C11" s="263" t="s">
        <v>93</v>
      </c>
      <c r="D11" s="264"/>
      <c r="E11" s="265"/>
      <c r="F11" s="266" t="s">
        <v>111</v>
      </c>
      <c r="G11" s="267"/>
    </row>
    <row r="12" spans="1:7" x14ac:dyDescent="0.25">
      <c r="B12" s="268">
        <f>year</f>
        <v>1950</v>
      </c>
      <c r="C12" s="269">
        <v>0</v>
      </c>
      <c r="D12" s="196"/>
      <c r="E12" s="270">
        <f>IF(Results!L15&lt;=0,0,C12/Results!L15)</f>
        <v>0</v>
      </c>
      <c r="F12" s="271">
        <f t="shared" ref="F12:F43" si="0">ox</f>
        <v>0.1</v>
      </c>
      <c r="G12" s="272"/>
    </row>
    <row r="13" spans="1:7" x14ac:dyDescent="0.25">
      <c r="B13" s="273">
        <f t="shared" ref="B13:B76" si="1">B12+1</f>
        <v>1951</v>
      </c>
      <c r="C13" s="274">
        <v>0</v>
      </c>
      <c r="D13" s="41"/>
      <c r="E13" s="270">
        <f>IF(Results!L16&lt;=0,0,C13/Results!L16)</f>
        <v>0</v>
      </c>
      <c r="F13" s="271">
        <f t="shared" si="0"/>
        <v>0.1</v>
      </c>
      <c r="G13" s="275"/>
    </row>
    <row r="14" spans="1:7" x14ac:dyDescent="0.25">
      <c r="B14" s="273">
        <f t="shared" si="1"/>
        <v>1952</v>
      </c>
      <c r="C14" s="274">
        <v>0</v>
      </c>
      <c r="D14" s="41"/>
      <c r="E14" s="270">
        <f>IF(Results!L17&lt;=0,0,C14/Results!L17)</f>
        <v>0</v>
      </c>
      <c r="F14" s="271">
        <f t="shared" si="0"/>
        <v>0.1</v>
      </c>
      <c r="G14" s="275"/>
    </row>
    <row r="15" spans="1:7" x14ac:dyDescent="0.25">
      <c r="B15" s="273">
        <f t="shared" si="1"/>
        <v>1953</v>
      </c>
      <c r="C15" s="274">
        <v>0</v>
      </c>
      <c r="D15" s="41"/>
      <c r="E15" s="270">
        <f>IF(Results!L18&lt;=0,0,C15/Results!L18)</f>
        <v>0</v>
      </c>
      <c r="F15" s="271">
        <f t="shared" si="0"/>
        <v>0.1</v>
      </c>
      <c r="G15" s="275"/>
    </row>
    <row r="16" spans="1:7" x14ac:dyDescent="0.25">
      <c r="B16" s="273">
        <f t="shared" si="1"/>
        <v>1954</v>
      </c>
      <c r="C16" s="274">
        <v>0</v>
      </c>
      <c r="D16" s="41"/>
      <c r="E16" s="270">
        <f>IF(Results!L19&lt;=0,0,C16/Results!L19)</f>
        <v>0</v>
      </c>
      <c r="F16" s="271">
        <f t="shared" si="0"/>
        <v>0.1</v>
      </c>
      <c r="G16" s="275"/>
    </row>
    <row r="17" spans="2:7" x14ac:dyDescent="0.25">
      <c r="B17" s="273">
        <f t="shared" si="1"/>
        <v>1955</v>
      </c>
      <c r="C17" s="274">
        <v>0</v>
      </c>
      <c r="D17" s="41"/>
      <c r="E17" s="270">
        <f>IF(Results!L20&lt;=0,0,C17/Results!L20)</f>
        <v>0</v>
      </c>
      <c r="F17" s="271">
        <f t="shared" si="0"/>
        <v>0.1</v>
      </c>
      <c r="G17" s="275"/>
    </row>
    <row r="18" spans="2:7" x14ac:dyDescent="0.25">
      <c r="B18" s="273">
        <f t="shared" si="1"/>
        <v>1956</v>
      </c>
      <c r="C18" s="274">
        <v>0</v>
      </c>
      <c r="D18" s="41"/>
      <c r="E18" s="270">
        <f>IF(Results!L21&lt;=0,0,C18/Results!L21)</f>
        <v>0</v>
      </c>
      <c r="F18" s="271">
        <f t="shared" si="0"/>
        <v>0.1</v>
      </c>
      <c r="G18" s="275"/>
    </row>
    <row r="19" spans="2:7" x14ac:dyDescent="0.25">
      <c r="B19" s="273">
        <f t="shared" si="1"/>
        <v>1957</v>
      </c>
      <c r="C19" s="274">
        <v>0</v>
      </c>
      <c r="D19" s="41"/>
      <c r="E19" s="270">
        <f>IF(Results!L22&lt;=0,0,C19/Results!L22)</f>
        <v>0</v>
      </c>
      <c r="F19" s="271">
        <f t="shared" si="0"/>
        <v>0.1</v>
      </c>
      <c r="G19" s="275"/>
    </row>
    <row r="20" spans="2:7" x14ac:dyDescent="0.25">
      <c r="B20" s="273">
        <f t="shared" si="1"/>
        <v>1958</v>
      </c>
      <c r="C20" s="274">
        <v>0</v>
      </c>
      <c r="D20" s="41"/>
      <c r="E20" s="270">
        <f>IF(Results!L23&lt;=0,0,C20/Results!L23)</f>
        <v>0</v>
      </c>
      <c r="F20" s="271">
        <f t="shared" si="0"/>
        <v>0.1</v>
      </c>
      <c r="G20" s="275"/>
    </row>
    <row r="21" spans="2:7" x14ac:dyDescent="0.25">
      <c r="B21" s="273">
        <f t="shared" si="1"/>
        <v>1959</v>
      </c>
      <c r="C21" s="274">
        <v>0</v>
      </c>
      <c r="D21" s="41"/>
      <c r="E21" s="270">
        <f>IF(Results!L24&lt;=0,0,C21/Results!L24)</f>
        <v>0</v>
      </c>
      <c r="F21" s="271">
        <f t="shared" si="0"/>
        <v>0.1</v>
      </c>
      <c r="G21" s="275"/>
    </row>
    <row r="22" spans="2:7" x14ac:dyDescent="0.25">
      <c r="B22" s="273">
        <f t="shared" si="1"/>
        <v>1960</v>
      </c>
      <c r="C22" s="274">
        <v>0</v>
      </c>
      <c r="D22" s="41"/>
      <c r="E22" s="270">
        <f>IF(Results!L25&lt;=0,0,C22/Results!L25)</f>
        <v>0</v>
      </c>
      <c r="F22" s="271">
        <f t="shared" si="0"/>
        <v>0.1</v>
      </c>
      <c r="G22" s="275"/>
    </row>
    <row r="23" spans="2:7" x14ac:dyDescent="0.25">
      <c r="B23" s="273">
        <f t="shared" si="1"/>
        <v>1961</v>
      </c>
      <c r="C23" s="274">
        <v>0</v>
      </c>
      <c r="D23" s="41"/>
      <c r="E23" s="270">
        <f>IF(Results!L26&lt;=0,0,C23/Results!L26)</f>
        <v>0</v>
      </c>
      <c r="F23" s="271">
        <f t="shared" si="0"/>
        <v>0.1</v>
      </c>
      <c r="G23" s="275"/>
    </row>
    <row r="24" spans="2:7" x14ac:dyDescent="0.25">
      <c r="B24" s="273">
        <f t="shared" si="1"/>
        <v>1962</v>
      </c>
      <c r="C24" s="274">
        <v>0</v>
      </c>
      <c r="D24" s="41"/>
      <c r="E24" s="270">
        <f>IF(Results!L27&lt;=0,0,C24/Results!L27)</f>
        <v>0</v>
      </c>
      <c r="F24" s="271">
        <f t="shared" si="0"/>
        <v>0.1</v>
      </c>
      <c r="G24" s="275"/>
    </row>
    <row r="25" spans="2:7" x14ac:dyDescent="0.25">
      <c r="B25" s="273">
        <f t="shared" si="1"/>
        <v>1963</v>
      </c>
      <c r="C25" s="274">
        <v>0</v>
      </c>
      <c r="D25" s="41"/>
      <c r="E25" s="270">
        <f>IF(Results!L28&lt;=0,0,C25/Results!L28)</f>
        <v>0</v>
      </c>
      <c r="F25" s="271">
        <f t="shared" si="0"/>
        <v>0.1</v>
      </c>
      <c r="G25" s="275"/>
    </row>
    <row r="26" spans="2:7" x14ac:dyDescent="0.25">
      <c r="B26" s="273">
        <f t="shared" si="1"/>
        <v>1964</v>
      </c>
      <c r="C26" s="274">
        <v>0</v>
      </c>
      <c r="D26" s="41"/>
      <c r="E26" s="270">
        <f>IF(Results!L29&lt;=0,0,C26/Results!L29)</f>
        <v>0</v>
      </c>
      <c r="F26" s="271">
        <f t="shared" si="0"/>
        <v>0.1</v>
      </c>
      <c r="G26" s="275"/>
    </row>
    <row r="27" spans="2:7" x14ac:dyDescent="0.25">
      <c r="B27" s="273">
        <f t="shared" si="1"/>
        <v>1965</v>
      </c>
      <c r="C27" s="274">
        <v>0</v>
      </c>
      <c r="D27" s="41"/>
      <c r="E27" s="270">
        <f>IF(Results!L30&lt;=0,0,C27/Results!L30)</f>
        <v>0</v>
      </c>
      <c r="F27" s="271">
        <f t="shared" si="0"/>
        <v>0.1</v>
      </c>
      <c r="G27" s="275"/>
    </row>
    <row r="28" spans="2:7" x14ac:dyDescent="0.25">
      <c r="B28" s="273">
        <f t="shared" si="1"/>
        <v>1966</v>
      </c>
      <c r="C28" s="274">
        <v>0</v>
      </c>
      <c r="D28" s="41"/>
      <c r="E28" s="270">
        <f>IF(Results!L31&lt;=0,0,C28/Results!L31)</f>
        <v>0</v>
      </c>
      <c r="F28" s="271">
        <f t="shared" si="0"/>
        <v>0.1</v>
      </c>
      <c r="G28" s="275"/>
    </row>
    <row r="29" spans="2:7" x14ac:dyDescent="0.25">
      <c r="B29" s="273">
        <f t="shared" si="1"/>
        <v>1967</v>
      </c>
      <c r="C29" s="274">
        <v>0</v>
      </c>
      <c r="D29" s="41"/>
      <c r="E29" s="270">
        <f>IF(Results!L32&lt;=0,0,C29/Results!L32)</f>
        <v>0</v>
      </c>
      <c r="F29" s="271">
        <f t="shared" si="0"/>
        <v>0.1</v>
      </c>
      <c r="G29" s="275"/>
    </row>
    <row r="30" spans="2:7" x14ac:dyDescent="0.25">
      <c r="B30" s="273">
        <f t="shared" si="1"/>
        <v>1968</v>
      </c>
      <c r="C30" s="274">
        <v>0</v>
      </c>
      <c r="D30" s="41"/>
      <c r="E30" s="270">
        <f>IF(Results!L33&lt;=0,0,C30/Results!L33)</f>
        <v>0</v>
      </c>
      <c r="F30" s="271">
        <f t="shared" si="0"/>
        <v>0.1</v>
      </c>
      <c r="G30" s="275"/>
    </row>
    <row r="31" spans="2:7" x14ac:dyDescent="0.25">
      <c r="B31" s="273">
        <f t="shared" si="1"/>
        <v>1969</v>
      </c>
      <c r="C31" s="274">
        <v>0</v>
      </c>
      <c r="D31" s="41"/>
      <c r="E31" s="270">
        <f>IF(Results!L34&lt;=0,0,C31/Results!L34)</f>
        <v>0</v>
      </c>
      <c r="F31" s="271">
        <f t="shared" si="0"/>
        <v>0.1</v>
      </c>
      <c r="G31" s="275"/>
    </row>
    <row r="32" spans="2:7" x14ac:dyDescent="0.25">
      <c r="B32" s="273">
        <f t="shared" si="1"/>
        <v>1970</v>
      </c>
      <c r="C32" s="274">
        <v>0</v>
      </c>
      <c r="D32" s="41"/>
      <c r="E32" s="270">
        <f>IF(Results!L35&lt;=0,0,C32/Results!L35)</f>
        <v>0</v>
      </c>
      <c r="F32" s="271">
        <f t="shared" si="0"/>
        <v>0.1</v>
      </c>
      <c r="G32" s="275"/>
    </row>
    <row r="33" spans="2:7" x14ac:dyDescent="0.25">
      <c r="B33" s="273">
        <f t="shared" si="1"/>
        <v>1971</v>
      </c>
      <c r="C33" s="274">
        <v>0</v>
      </c>
      <c r="D33" s="41"/>
      <c r="E33" s="270">
        <f>IF(Results!L36&lt;=0,0,C33/Results!L36)</f>
        <v>0</v>
      </c>
      <c r="F33" s="271">
        <f t="shared" si="0"/>
        <v>0.1</v>
      </c>
      <c r="G33" s="275"/>
    </row>
    <row r="34" spans="2:7" x14ac:dyDescent="0.25">
      <c r="B34" s="273">
        <f t="shared" si="1"/>
        <v>1972</v>
      </c>
      <c r="C34" s="274">
        <v>0</v>
      </c>
      <c r="D34" s="41"/>
      <c r="E34" s="270">
        <f>IF(Results!L37&lt;=0,0,C34/Results!L37)</f>
        <v>0</v>
      </c>
      <c r="F34" s="271">
        <f t="shared" si="0"/>
        <v>0.1</v>
      </c>
      <c r="G34" s="275"/>
    </row>
    <row r="35" spans="2:7" x14ac:dyDescent="0.25">
      <c r="B35" s="273">
        <f t="shared" si="1"/>
        <v>1973</v>
      </c>
      <c r="C35" s="274">
        <v>0</v>
      </c>
      <c r="D35" s="41"/>
      <c r="E35" s="270">
        <f>IF(Results!L38&lt;=0,0,C35/Results!L38)</f>
        <v>0</v>
      </c>
      <c r="F35" s="271">
        <f t="shared" si="0"/>
        <v>0.1</v>
      </c>
      <c r="G35" s="275"/>
    </row>
    <row r="36" spans="2:7" x14ac:dyDescent="0.25">
      <c r="B36" s="273">
        <f t="shared" si="1"/>
        <v>1974</v>
      </c>
      <c r="C36" s="274">
        <v>0</v>
      </c>
      <c r="D36" s="41"/>
      <c r="E36" s="270">
        <f>IF(Results!L39&lt;=0,0,C36/Results!L39)</f>
        <v>0</v>
      </c>
      <c r="F36" s="271">
        <f t="shared" si="0"/>
        <v>0.1</v>
      </c>
      <c r="G36" s="275"/>
    </row>
    <row r="37" spans="2:7" x14ac:dyDescent="0.25">
      <c r="B37" s="273">
        <f t="shared" si="1"/>
        <v>1975</v>
      </c>
      <c r="C37" s="274">
        <v>0</v>
      </c>
      <c r="D37" s="41"/>
      <c r="E37" s="270">
        <f>IF(Results!L40&lt;=0,0,C37/Results!L40)</f>
        <v>0</v>
      </c>
      <c r="F37" s="271">
        <f t="shared" si="0"/>
        <v>0.1</v>
      </c>
      <c r="G37" s="275"/>
    </row>
    <row r="38" spans="2:7" x14ac:dyDescent="0.25">
      <c r="B38" s="273">
        <f t="shared" si="1"/>
        <v>1976</v>
      </c>
      <c r="C38" s="274">
        <v>0</v>
      </c>
      <c r="D38" s="41"/>
      <c r="E38" s="270">
        <f>IF(Results!L41&lt;=0,0,C38/Results!L41)</f>
        <v>0</v>
      </c>
      <c r="F38" s="271">
        <f t="shared" si="0"/>
        <v>0.1</v>
      </c>
      <c r="G38" s="275"/>
    </row>
    <row r="39" spans="2:7" x14ac:dyDescent="0.25">
      <c r="B39" s="273">
        <f t="shared" si="1"/>
        <v>1977</v>
      </c>
      <c r="C39" s="274">
        <v>0</v>
      </c>
      <c r="D39" s="41"/>
      <c r="E39" s="270">
        <f>IF(Results!L42&lt;=0,0,C39/Results!L42)</f>
        <v>0</v>
      </c>
      <c r="F39" s="271">
        <f t="shared" si="0"/>
        <v>0.1</v>
      </c>
      <c r="G39" s="275"/>
    </row>
    <row r="40" spans="2:7" x14ac:dyDescent="0.25">
      <c r="B40" s="273">
        <f t="shared" si="1"/>
        <v>1978</v>
      </c>
      <c r="C40" s="274">
        <v>0</v>
      </c>
      <c r="D40" s="41"/>
      <c r="E40" s="270">
        <f>IF(Results!L43&lt;=0,0,C40/Results!L43)</f>
        <v>0</v>
      </c>
      <c r="F40" s="271">
        <f t="shared" si="0"/>
        <v>0.1</v>
      </c>
      <c r="G40" s="275"/>
    </row>
    <row r="41" spans="2:7" x14ac:dyDescent="0.25">
      <c r="B41" s="273">
        <f t="shared" si="1"/>
        <v>1979</v>
      </c>
      <c r="C41" s="274">
        <v>0</v>
      </c>
      <c r="D41" s="41"/>
      <c r="E41" s="270">
        <f>IF(Results!L44&lt;=0,0,C41/Results!L44)</f>
        <v>0</v>
      </c>
      <c r="F41" s="271">
        <f t="shared" si="0"/>
        <v>0.1</v>
      </c>
      <c r="G41" s="275"/>
    </row>
    <row r="42" spans="2:7" x14ac:dyDescent="0.25">
      <c r="B42" s="273">
        <f t="shared" si="1"/>
        <v>1980</v>
      </c>
      <c r="C42" s="274">
        <v>0</v>
      </c>
      <c r="D42" s="41"/>
      <c r="E42" s="270">
        <f>IF(Results!L45&lt;=0,0,C42/Results!L45)</f>
        <v>0</v>
      </c>
      <c r="F42" s="271">
        <f t="shared" si="0"/>
        <v>0.1</v>
      </c>
      <c r="G42" s="275"/>
    </row>
    <row r="43" spans="2:7" x14ac:dyDescent="0.25">
      <c r="B43" s="273">
        <f t="shared" si="1"/>
        <v>1981</v>
      </c>
      <c r="C43" s="274">
        <v>0</v>
      </c>
      <c r="D43" s="41"/>
      <c r="E43" s="270">
        <f>IF(Results!L46&lt;=0,0,C43/Results!L46)</f>
        <v>0</v>
      </c>
      <c r="F43" s="271">
        <f t="shared" si="0"/>
        <v>0.1</v>
      </c>
      <c r="G43" s="275"/>
    </row>
    <row r="44" spans="2:7" x14ac:dyDescent="0.25">
      <c r="B44" s="273">
        <f t="shared" si="1"/>
        <v>1982</v>
      </c>
      <c r="C44" s="274">
        <v>0</v>
      </c>
      <c r="D44" s="41"/>
      <c r="E44" s="270">
        <f>IF(Results!L47&lt;=0,0,C44/Results!L47)</f>
        <v>0</v>
      </c>
      <c r="F44" s="271">
        <f t="shared" ref="F44:F75" si="2">ox</f>
        <v>0.1</v>
      </c>
      <c r="G44" s="275"/>
    </row>
    <row r="45" spans="2:7" x14ac:dyDescent="0.25">
      <c r="B45" s="273">
        <f t="shared" si="1"/>
        <v>1983</v>
      </c>
      <c r="C45" s="274">
        <v>0</v>
      </c>
      <c r="D45" s="41"/>
      <c r="E45" s="270">
        <f>IF(Results!L48&lt;=0,0,C45/Results!L48)</f>
        <v>0</v>
      </c>
      <c r="F45" s="271">
        <f t="shared" si="2"/>
        <v>0.1</v>
      </c>
      <c r="G45" s="275"/>
    </row>
    <row r="46" spans="2:7" x14ac:dyDescent="0.25">
      <c r="B46" s="273">
        <f t="shared" si="1"/>
        <v>1984</v>
      </c>
      <c r="C46" s="274">
        <v>0</v>
      </c>
      <c r="D46" s="41"/>
      <c r="E46" s="270">
        <f>IF(Results!L49&lt;=0,0,C46/Results!L49)</f>
        <v>0</v>
      </c>
      <c r="F46" s="271">
        <f t="shared" si="2"/>
        <v>0.1</v>
      </c>
      <c r="G46" s="275"/>
    </row>
    <row r="47" spans="2:7" x14ac:dyDescent="0.25">
      <c r="B47" s="273">
        <f t="shared" si="1"/>
        <v>1985</v>
      </c>
      <c r="C47" s="274">
        <v>0</v>
      </c>
      <c r="D47" s="41"/>
      <c r="E47" s="270">
        <f>IF(Results!L50&lt;=0,0,C47/Results!L50)</f>
        <v>0</v>
      </c>
      <c r="F47" s="271">
        <f t="shared" si="2"/>
        <v>0.1</v>
      </c>
      <c r="G47" s="275"/>
    </row>
    <row r="48" spans="2:7" x14ac:dyDescent="0.25">
      <c r="B48" s="273">
        <f t="shared" si="1"/>
        <v>1986</v>
      </c>
      <c r="C48" s="274">
        <v>0</v>
      </c>
      <c r="D48" s="41"/>
      <c r="E48" s="270">
        <f>IF(Results!L51&lt;=0,0,C48/Results!L51)</f>
        <v>0</v>
      </c>
      <c r="F48" s="271">
        <f t="shared" si="2"/>
        <v>0.1</v>
      </c>
      <c r="G48" s="275"/>
    </row>
    <row r="49" spans="2:7" x14ac:dyDescent="0.25">
      <c r="B49" s="273">
        <f t="shared" si="1"/>
        <v>1987</v>
      </c>
      <c r="C49" s="274">
        <v>0</v>
      </c>
      <c r="D49" s="41"/>
      <c r="E49" s="270">
        <f>IF(Results!L52&lt;=0,0,C49/Results!L52)</f>
        <v>0</v>
      </c>
      <c r="F49" s="271">
        <f t="shared" si="2"/>
        <v>0.1</v>
      </c>
      <c r="G49" s="275"/>
    </row>
    <row r="50" spans="2:7" x14ac:dyDescent="0.25">
      <c r="B50" s="273">
        <f t="shared" si="1"/>
        <v>1988</v>
      </c>
      <c r="C50" s="274">
        <v>0</v>
      </c>
      <c r="D50" s="41"/>
      <c r="E50" s="270">
        <f>IF(Results!L53&lt;=0,0,C50/Results!L53)</f>
        <v>0</v>
      </c>
      <c r="F50" s="271">
        <f t="shared" si="2"/>
        <v>0.1</v>
      </c>
      <c r="G50" s="275"/>
    </row>
    <row r="51" spans="2:7" x14ac:dyDescent="0.25">
      <c r="B51" s="273">
        <f t="shared" si="1"/>
        <v>1989</v>
      </c>
      <c r="C51" s="274">
        <v>0</v>
      </c>
      <c r="D51" s="41"/>
      <c r="E51" s="270">
        <f>IF(Results!L54&lt;=0,0,C51/Results!L54)</f>
        <v>0</v>
      </c>
      <c r="F51" s="271">
        <f t="shared" si="2"/>
        <v>0.1</v>
      </c>
      <c r="G51" s="275"/>
    </row>
    <row r="52" spans="2:7" x14ac:dyDescent="0.25">
      <c r="B52" s="273">
        <f t="shared" si="1"/>
        <v>1990</v>
      </c>
      <c r="C52" s="274">
        <v>3.3</v>
      </c>
      <c r="D52" s="41"/>
      <c r="E52" s="270">
        <f>IF(Results!L55&lt;=0,0,C52/Results!L55)</f>
        <v>2.0417592274503602E-2</v>
      </c>
      <c r="F52" s="271">
        <f t="shared" si="2"/>
        <v>0.1</v>
      </c>
      <c r="G52" s="275"/>
    </row>
    <row r="53" spans="2:7" x14ac:dyDescent="0.25">
      <c r="B53" s="273">
        <f t="shared" si="1"/>
        <v>1991</v>
      </c>
      <c r="C53" s="274">
        <v>3.3</v>
      </c>
      <c r="D53" s="41"/>
      <c r="E53" s="270">
        <f>IF(Results!L56&lt;=0,0,C53/Results!L56)</f>
        <v>1.9966538275603934E-2</v>
      </c>
      <c r="F53" s="271">
        <f t="shared" si="2"/>
        <v>0.1</v>
      </c>
      <c r="G53" s="275"/>
    </row>
    <row r="54" spans="2:7" x14ac:dyDescent="0.25">
      <c r="B54" s="273">
        <f t="shared" si="1"/>
        <v>1992</v>
      </c>
      <c r="C54" s="274">
        <v>3.5</v>
      </c>
      <c r="D54" s="41"/>
      <c r="E54" s="270">
        <f>IF(Results!L57&lt;=0,0,C54/Results!L57)</f>
        <v>2.1624563770446626E-2</v>
      </c>
      <c r="F54" s="271">
        <f t="shared" si="2"/>
        <v>0.1</v>
      </c>
      <c r="G54" s="275"/>
    </row>
    <row r="55" spans="2:7" x14ac:dyDescent="0.25">
      <c r="B55" s="273">
        <f t="shared" si="1"/>
        <v>1993</v>
      </c>
      <c r="C55" s="274">
        <v>3.5</v>
      </c>
      <c r="D55" s="41"/>
      <c r="E55" s="270">
        <f>IF(Results!L58&lt;=0,0,C55/Results!L58)</f>
        <v>2.2012141730070049E-2</v>
      </c>
      <c r="F55" s="271">
        <f t="shared" si="2"/>
        <v>0.1</v>
      </c>
      <c r="G55" s="275"/>
    </row>
    <row r="56" spans="2:7" x14ac:dyDescent="0.25">
      <c r="B56" s="273">
        <f t="shared" si="1"/>
        <v>1994</v>
      </c>
      <c r="C56" s="274">
        <v>3.5</v>
      </c>
      <c r="D56" s="41"/>
      <c r="E56" s="270">
        <f>IF(Results!L59&lt;=0,0,C56/Results!L59)</f>
        <v>2.2291158792454659E-2</v>
      </c>
      <c r="F56" s="271">
        <f t="shared" si="2"/>
        <v>0.1</v>
      </c>
      <c r="G56" s="275"/>
    </row>
    <row r="57" spans="2:7" x14ac:dyDescent="0.25">
      <c r="B57" s="273">
        <f t="shared" si="1"/>
        <v>1995</v>
      </c>
      <c r="C57" s="274">
        <v>3.5</v>
      </c>
      <c r="D57" s="41"/>
      <c r="E57" s="270">
        <f>IF(Results!L60&lt;=0,0,C57/Results!L60)</f>
        <v>2.249481863857189E-2</v>
      </c>
      <c r="F57" s="271">
        <f>ox</f>
        <v>0.1</v>
      </c>
      <c r="G57" s="275"/>
    </row>
    <row r="58" spans="2:7" x14ac:dyDescent="0.25">
      <c r="B58" s="273">
        <f t="shared" si="1"/>
        <v>1996</v>
      </c>
      <c r="C58" s="274">
        <v>6</v>
      </c>
      <c r="D58" s="41"/>
      <c r="E58" s="270">
        <f>IF(Results!L61&lt;=0,0,C58/Results!L61)</f>
        <v>3.8843264614495304E-2</v>
      </c>
      <c r="F58" s="271">
        <f t="shared" si="2"/>
        <v>0.1</v>
      </c>
      <c r="G58" s="275"/>
    </row>
    <row r="59" spans="2:7" x14ac:dyDescent="0.25">
      <c r="B59" s="273">
        <f t="shared" si="1"/>
        <v>1997</v>
      </c>
      <c r="C59" s="274">
        <v>6.6</v>
      </c>
      <c r="D59" s="41"/>
      <c r="E59" s="270">
        <f>IF(Results!L62&lt;=0,0,C59/Results!L62)</f>
        <v>4.2981769440559467E-2</v>
      </c>
      <c r="F59" s="271">
        <f t="shared" si="2"/>
        <v>0.1</v>
      </c>
      <c r="G59" s="275"/>
    </row>
    <row r="60" spans="2:7" x14ac:dyDescent="0.25">
      <c r="B60" s="273">
        <f t="shared" si="1"/>
        <v>1998</v>
      </c>
      <c r="C60" s="274">
        <v>7.1</v>
      </c>
      <c r="D60" s="41"/>
      <c r="E60" s="270">
        <f>IF(Results!L63&lt;=0,0,C60/Results!L63)</f>
        <v>4.6326145126970864E-2</v>
      </c>
      <c r="F60" s="271">
        <f t="shared" si="2"/>
        <v>0.1</v>
      </c>
      <c r="G60" s="275"/>
    </row>
    <row r="61" spans="2:7" x14ac:dyDescent="0.25">
      <c r="B61" s="273">
        <f t="shared" si="1"/>
        <v>1999</v>
      </c>
      <c r="C61" s="274">
        <v>7.7</v>
      </c>
      <c r="D61" s="41"/>
      <c r="E61" s="270">
        <f>IF(Results!L64&lt;=0,0,C61/Results!L64)</f>
        <v>5.022160642690577E-2</v>
      </c>
      <c r="F61" s="271">
        <f>ox</f>
        <v>0.1</v>
      </c>
      <c r="G61" s="275"/>
    </row>
    <row r="62" spans="2:7" x14ac:dyDescent="0.25">
      <c r="B62" s="273">
        <f t="shared" si="1"/>
        <v>2000</v>
      </c>
      <c r="C62" s="274">
        <v>8.1999999999999993</v>
      </c>
      <c r="D62" s="41"/>
      <c r="E62" s="270">
        <f>IF(Results!L65&lt;=0,0,C62/Results!L65)</f>
        <v>5.3288821907511795E-2</v>
      </c>
      <c r="F62" s="271">
        <f t="shared" si="2"/>
        <v>0.1</v>
      </c>
      <c r="G62" s="275"/>
    </row>
    <row r="63" spans="2:7" x14ac:dyDescent="0.25">
      <c r="B63" s="273">
        <f t="shared" si="1"/>
        <v>2001</v>
      </c>
      <c r="C63" s="274">
        <v>8.8000000000000007</v>
      </c>
      <c r="D63" s="41"/>
      <c r="E63" s="270">
        <f>IF(Results!L66&lt;=0,0,C63/Results!L66)</f>
        <v>5.7271117244659109E-2</v>
      </c>
      <c r="F63" s="271">
        <f t="shared" si="2"/>
        <v>0.1</v>
      </c>
      <c r="G63" s="275"/>
    </row>
    <row r="64" spans="2:7" x14ac:dyDescent="0.25">
      <c r="B64" s="273">
        <f t="shared" si="1"/>
        <v>2002</v>
      </c>
      <c r="C64" s="274">
        <v>9.3000000000000007</v>
      </c>
      <c r="D64" s="41"/>
      <c r="E64" s="270">
        <f>IF(Results!L67&lt;=0,0,C64/Results!L67)</f>
        <v>6.0286668394497006E-2</v>
      </c>
      <c r="F64" s="271">
        <f t="shared" si="2"/>
        <v>0.1</v>
      </c>
      <c r="G64" s="275"/>
    </row>
    <row r="65" spans="2:7" x14ac:dyDescent="0.25">
      <c r="B65" s="273">
        <f t="shared" si="1"/>
        <v>2003</v>
      </c>
      <c r="C65" s="274">
        <v>9.9</v>
      </c>
      <c r="D65" s="41"/>
      <c r="E65" s="270">
        <f>IF(Results!L68&lt;=0,0,C65/Results!L68)</f>
        <v>6.384321482162747E-2</v>
      </c>
      <c r="F65" s="271">
        <f t="shared" si="2"/>
        <v>0.1</v>
      </c>
      <c r="G65" s="275"/>
    </row>
    <row r="66" spans="2:7" x14ac:dyDescent="0.25">
      <c r="B66" s="273">
        <f t="shared" si="1"/>
        <v>2004</v>
      </c>
      <c r="C66" s="274">
        <v>15.6</v>
      </c>
      <c r="D66" s="41"/>
      <c r="E66" s="270">
        <f>IF(Results!L69&lt;=0,0,C66/Results!L69)</f>
        <v>9.9700971821539808E-2</v>
      </c>
      <c r="F66" s="271">
        <f t="shared" si="2"/>
        <v>0.1</v>
      </c>
      <c r="G66" s="275"/>
    </row>
    <row r="67" spans="2:7" x14ac:dyDescent="0.25">
      <c r="B67" s="273">
        <f t="shared" si="1"/>
        <v>2005</v>
      </c>
      <c r="C67" s="274">
        <v>18</v>
      </c>
      <c r="D67" s="41"/>
      <c r="E67" s="270">
        <f>IF(Results!L70&lt;=0,0,C67/Results!L70)</f>
        <v>0.11376309928985104</v>
      </c>
      <c r="F67" s="271">
        <f t="shared" si="2"/>
        <v>0.1</v>
      </c>
      <c r="G67" s="275"/>
    </row>
    <row r="68" spans="2:7" x14ac:dyDescent="0.25">
      <c r="B68" s="273">
        <f t="shared" si="1"/>
        <v>2006</v>
      </c>
      <c r="C68" s="274">
        <v>20.6</v>
      </c>
      <c r="D68" s="41"/>
      <c r="E68" s="270">
        <f>IF(Results!L71&lt;=0,0,C68/Results!L71)</f>
        <v>0.12879299404275413</v>
      </c>
      <c r="F68" s="271">
        <f t="shared" si="2"/>
        <v>0.1</v>
      </c>
      <c r="G68" s="275"/>
    </row>
    <row r="69" spans="2:7" x14ac:dyDescent="0.25">
      <c r="B69" s="273">
        <f t="shared" si="1"/>
        <v>2007</v>
      </c>
      <c r="C69" s="274">
        <v>25.9</v>
      </c>
      <c r="D69" s="41"/>
      <c r="E69" s="270">
        <f>IF(Results!L72&lt;=0,0,C69/Results!L72)</f>
        <v>0.1601099416206391</v>
      </c>
      <c r="F69" s="271">
        <f t="shared" si="2"/>
        <v>0.1</v>
      </c>
      <c r="G69" s="275"/>
    </row>
    <row r="70" spans="2:7" x14ac:dyDescent="0.25">
      <c r="B70" s="273">
        <f t="shared" si="1"/>
        <v>2008</v>
      </c>
      <c r="C70" s="274">
        <v>24.6</v>
      </c>
      <c r="D70" s="41"/>
      <c r="E70" s="270">
        <f>IF(Results!L73&lt;=0,0,C70/Results!L73)</f>
        <v>0.14969925750488239</v>
      </c>
      <c r="F70" s="271">
        <f t="shared" si="2"/>
        <v>0.1</v>
      </c>
      <c r="G70" s="275"/>
    </row>
    <row r="71" spans="2:7" x14ac:dyDescent="0.25">
      <c r="B71" s="273">
        <f t="shared" si="1"/>
        <v>2009</v>
      </c>
      <c r="C71" s="274">
        <v>24.5</v>
      </c>
      <c r="D71" s="41"/>
      <c r="E71" s="270">
        <f>IF(Results!L74&lt;=0,0,C71/Results!L74)</f>
        <v>0.14690090963048058</v>
      </c>
      <c r="F71" s="271">
        <f t="shared" si="2"/>
        <v>0.1</v>
      </c>
      <c r="G71" s="275"/>
    </row>
    <row r="72" spans="2:7" x14ac:dyDescent="0.25">
      <c r="B72" s="273">
        <f t="shared" si="1"/>
        <v>2010</v>
      </c>
      <c r="C72" s="274">
        <v>24.7</v>
      </c>
      <c r="D72" s="41"/>
      <c r="E72" s="270">
        <f>IF(Results!L75&lt;=0,0,C72/Results!L75)</f>
        <v>0.14500151369117942</v>
      </c>
      <c r="F72" s="271">
        <f t="shared" si="2"/>
        <v>0.1</v>
      </c>
      <c r="G72" s="275"/>
    </row>
    <row r="73" spans="2:7" x14ac:dyDescent="0.25">
      <c r="B73" s="273">
        <f t="shared" si="1"/>
        <v>2011</v>
      </c>
      <c r="C73" s="274">
        <v>26.6</v>
      </c>
      <c r="D73" s="41"/>
      <c r="E73" s="270">
        <f>IF(Results!L76&lt;=0,0,C73/Results!L76)</f>
        <v>0.15343654379064342</v>
      </c>
      <c r="F73" s="271">
        <f t="shared" si="2"/>
        <v>0.1</v>
      </c>
      <c r="G73" s="275"/>
    </row>
    <row r="74" spans="2:7" x14ac:dyDescent="0.25">
      <c r="B74" s="273">
        <f t="shared" si="1"/>
        <v>2012</v>
      </c>
      <c r="C74" s="274">
        <v>26.5</v>
      </c>
      <c r="D74" s="41"/>
      <c r="E74" s="270">
        <f>IF(Results!L77&lt;=0,0,C74/Results!L77)</f>
        <v>0.15152527958859538</v>
      </c>
      <c r="F74" s="271">
        <f t="shared" si="2"/>
        <v>0.1</v>
      </c>
      <c r="G74" s="275"/>
    </row>
    <row r="75" spans="2:7" x14ac:dyDescent="0.25">
      <c r="B75" s="273">
        <f t="shared" si="1"/>
        <v>2013</v>
      </c>
      <c r="C75" s="274">
        <v>24.2</v>
      </c>
      <c r="D75" s="41"/>
      <c r="E75" s="270">
        <f>IF(Results!L78&lt;=0,0,C75/Results!L78)</f>
        <v>0.13812686595239171</v>
      </c>
      <c r="F75" s="271">
        <f t="shared" si="2"/>
        <v>0.1</v>
      </c>
      <c r="G75" s="275"/>
    </row>
    <row r="76" spans="2:7" x14ac:dyDescent="0.25">
      <c r="B76" s="273">
        <f t="shared" si="1"/>
        <v>2014</v>
      </c>
      <c r="C76" s="274">
        <v>25.7</v>
      </c>
      <c r="D76" s="41"/>
      <c r="E76" s="270">
        <f>IF(Results!L79&lt;=0,0,C76/Results!L79)</f>
        <v>0.14727955735528828</v>
      </c>
      <c r="F76" s="271">
        <f t="shared" ref="F76:F102" si="3">ox</f>
        <v>0.1</v>
      </c>
      <c r="G76" s="275"/>
    </row>
    <row r="77" spans="2:7" x14ac:dyDescent="0.25">
      <c r="B77" s="273">
        <f t="shared" ref="B77:B102" si="4">B76+1</f>
        <v>2015</v>
      </c>
      <c r="C77" s="274">
        <v>22.7</v>
      </c>
      <c r="D77" s="41"/>
      <c r="E77" s="270">
        <f>IF(Results!L80&lt;=0,0,C77/Results!L80)</f>
        <v>0.13090034373838405</v>
      </c>
      <c r="F77" s="271">
        <f t="shared" si="3"/>
        <v>0.1</v>
      </c>
      <c r="G77" s="275"/>
    </row>
    <row r="78" spans="2:7" x14ac:dyDescent="0.25">
      <c r="B78" s="273">
        <f t="shared" si="4"/>
        <v>2016</v>
      </c>
      <c r="C78" s="274">
        <v>23</v>
      </c>
      <c r="D78" s="41"/>
      <c r="E78" s="270">
        <f>IF(Results!L81&lt;=0,0,C78/Results!L81)</f>
        <v>0.13383599736782217</v>
      </c>
      <c r="F78" s="271">
        <f t="shared" si="3"/>
        <v>0.1</v>
      </c>
      <c r="G78" s="275"/>
    </row>
    <row r="79" spans="2:7" x14ac:dyDescent="0.25">
      <c r="B79" s="273">
        <f t="shared" si="4"/>
        <v>2017</v>
      </c>
      <c r="C79" s="274">
        <v>23</v>
      </c>
      <c r="D79" s="41"/>
      <c r="E79" s="270">
        <f>IF(Results!L82&lt;=0,0,C79/Results!L82)</f>
        <v>0.13519527441232973</v>
      </c>
      <c r="F79" s="271">
        <f t="shared" si="3"/>
        <v>0.1</v>
      </c>
      <c r="G79" s="275"/>
    </row>
    <row r="80" spans="2:7" x14ac:dyDescent="0.25">
      <c r="B80" s="273">
        <f t="shared" si="4"/>
        <v>2018</v>
      </c>
      <c r="C80" s="274">
        <v>23</v>
      </c>
      <c r="D80" s="41"/>
      <c r="E80" s="270">
        <f>IF(Results!L83&lt;=0,0,C80/Results!L83)</f>
        <v>0.13641231339426538</v>
      </c>
      <c r="F80" s="271">
        <f t="shared" si="3"/>
        <v>0.1</v>
      </c>
      <c r="G80" s="275"/>
    </row>
    <row r="81" spans="2:7" x14ac:dyDescent="0.25">
      <c r="B81" s="273">
        <f t="shared" si="4"/>
        <v>2019</v>
      </c>
      <c r="C81" s="274">
        <v>23</v>
      </c>
      <c r="D81" s="41"/>
      <c r="E81" s="270">
        <f>IF(Results!L84&lt;=0,0,C81/Results!L84)</f>
        <v>0.1375027751401435</v>
      </c>
      <c r="F81" s="271">
        <f t="shared" si="3"/>
        <v>0.1</v>
      </c>
      <c r="G81" s="275"/>
    </row>
    <row r="82" spans="2:7" x14ac:dyDescent="0.25">
      <c r="B82" s="273">
        <f t="shared" si="4"/>
        <v>2020</v>
      </c>
      <c r="C82" s="274">
        <v>23</v>
      </c>
      <c r="D82" s="41"/>
      <c r="E82" s="270">
        <f>IF(Results!L85&lt;=0,0,C82/Results!L85)</f>
        <v>0.13848070528917383</v>
      </c>
      <c r="F82" s="271">
        <f t="shared" si="3"/>
        <v>0.1</v>
      </c>
      <c r="G82" s="275"/>
    </row>
    <row r="83" spans="2:7" x14ac:dyDescent="0.25">
      <c r="B83" s="273">
        <f t="shared" si="4"/>
        <v>2021</v>
      </c>
      <c r="C83" s="274">
        <v>23</v>
      </c>
      <c r="D83" s="41"/>
      <c r="E83" s="270">
        <f>IF(Results!L86&lt;=0,0,C83/Results!L86)</f>
        <v>0.13935862189252257</v>
      </c>
      <c r="F83" s="271">
        <f t="shared" si="3"/>
        <v>0.1</v>
      </c>
      <c r="G83" s="275"/>
    </row>
    <row r="84" spans="2:7" x14ac:dyDescent="0.25">
      <c r="B84" s="273">
        <f t="shared" si="4"/>
        <v>2022</v>
      </c>
      <c r="C84" s="274">
        <v>23</v>
      </c>
      <c r="D84" s="41"/>
      <c r="E84" s="270">
        <f>IF(Results!L87&lt;=0,0,C84/Results!L87)</f>
        <v>0.14014762806985601</v>
      </c>
      <c r="F84" s="271">
        <f t="shared" si="3"/>
        <v>0.1</v>
      </c>
      <c r="G84" s="275"/>
    </row>
    <row r="85" spans="2:7" x14ac:dyDescent="0.25">
      <c r="B85" s="273">
        <f t="shared" si="4"/>
        <v>2023</v>
      </c>
      <c r="C85" s="274">
        <v>23</v>
      </c>
      <c r="D85" s="41"/>
      <c r="E85" s="270">
        <f>IF(Results!L88&lt;=0,0,C85/Results!L88)</f>
        <v>0.14085753691575156</v>
      </c>
      <c r="F85" s="271">
        <f t="shared" si="3"/>
        <v>0.1</v>
      </c>
      <c r="G85" s="275"/>
    </row>
    <row r="86" spans="2:7" x14ac:dyDescent="0.25">
      <c r="B86" s="273">
        <f t="shared" si="4"/>
        <v>2024</v>
      </c>
      <c r="C86" s="274">
        <v>23</v>
      </c>
      <c r="D86" s="41"/>
      <c r="E86" s="270">
        <f>IF(Results!L89&lt;=0,0,C86/Results!L89)</f>
        <v>0.14149699964148832</v>
      </c>
      <c r="F86" s="271">
        <f t="shared" si="3"/>
        <v>0.1</v>
      </c>
      <c r="G86" s="275"/>
    </row>
    <row r="87" spans="2:7" x14ac:dyDescent="0.25">
      <c r="B87" s="273">
        <f t="shared" si="4"/>
        <v>2025</v>
      </c>
      <c r="C87" s="274">
        <v>23</v>
      </c>
      <c r="D87" s="41"/>
      <c r="E87" s="270">
        <f>IF(Results!L90&lt;=0,0,C87/Results!L90)</f>
        <v>0.1420736308856505</v>
      </c>
      <c r="F87" s="271">
        <f t="shared" si="3"/>
        <v>0.1</v>
      </c>
      <c r="G87" s="275"/>
    </row>
    <row r="88" spans="2:7" x14ac:dyDescent="0.25">
      <c r="B88" s="273">
        <f t="shared" si="4"/>
        <v>2026</v>
      </c>
      <c r="C88" s="274">
        <v>23</v>
      </c>
      <c r="D88" s="41"/>
      <c r="E88" s="270">
        <f>IF(Results!L91&lt;=0,0,C88/Results!L91)</f>
        <v>0.14259412734661955</v>
      </c>
      <c r="F88" s="271">
        <f t="shared" si="3"/>
        <v>0.1</v>
      </c>
      <c r="G88" s="275"/>
    </row>
    <row r="89" spans="2:7" x14ac:dyDescent="0.25">
      <c r="B89" s="273">
        <f t="shared" si="4"/>
        <v>2027</v>
      </c>
      <c r="C89" s="274">
        <v>23</v>
      </c>
      <c r="D89" s="41"/>
      <c r="E89" s="270">
        <f>IF(Results!L92&lt;=0,0,C89/Results!L92)</f>
        <v>0.14306437751245824</v>
      </c>
      <c r="F89" s="271">
        <f t="shared" si="3"/>
        <v>0.1</v>
      </c>
      <c r="G89" s="275"/>
    </row>
    <row r="90" spans="2:7" x14ac:dyDescent="0.25">
      <c r="B90" s="273">
        <f t="shared" si="4"/>
        <v>2028</v>
      </c>
      <c r="C90" s="274">
        <v>23</v>
      </c>
      <c r="D90" s="41"/>
      <c r="E90" s="270">
        <f>IF(Results!L93&lt;=0,0,C90/Results!L93)</f>
        <v>0.14348956141429761</v>
      </c>
      <c r="F90" s="271">
        <f t="shared" si="3"/>
        <v>0.1</v>
      </c>
      <c r="G90" s="275"/>
    </row>
    <row r="91" spans="2:7" x14ac:dyDescent="0.25">
      <c r="B91" s="273">
        <f t="shared" si="4"/>
        <v>2029</v>
      </c>
      <c r="C91" s="274">
        <v>23</v>
      </c>
      <c r="D91" s="41"/>
      <c r="E91" s="270">
        <f>IF(Results!L94&lt;=0,0,C91/Results!L94)</f>
        <v>0.14387424011823624</v>
      </c>
      <c r="F91" s="271">
        <f t="shared" si="3"/>
        <v>0.1</v>
      </c>
      <c r="G91" s="275"/>
    </row>
    <row r="92" spans="2:7" x14ac:dyDescent="0.25">
      <c r="B92" s="273">
        <f t="shared" si="4"/>
        <v>2030</v>
      </c>
      <c r="C92" s="274">
        <v>23</v>
      </c>
      <c r="D92" s="41"/>
      <c r="E92" s="270">
        <f>IF(Results!L95&lt;=0,0,C92/Results!L95)</f>
        <v>0.14422243518947581</v>
      </c>
      <c r="F92" s="271">
        <f t="shared" si="3"/>
        <v>0.1</v>
      </c>
      <c r="G92" s="275"/>
    </row>
    <row r="93" spans="2:7" x14ac:dyDescent="0.25">
      <c r="B93" s="273">
        <f t="shared" si="4"/>
        <v>2031</v>
      </c>
      <c r="C93" s="274">
        <v>23</v>
      </c>
      <c r="D93" s="41"/>
      <c r="E93" s="270">
        <f>IF(Results!L96&lt;=0,0,C93/Results!L96)</f>
        <v>0.14453769868414434</v>
      </c>
      <c r="F93" s="271">
        <f t="shared" si="3"/>
        <v>0.1</v>
      </c>
      <c r="G93" s="275"/>
    </row>
    <row r="94" spans="2:7" x14ac:dyDescent="0.25">
      <c r="B94" s="273">
        <f t="shared" si="4"/>
        <v>2032</v>
      </c>
      <c r="C94" s="274">
        <v>23</v>
      </c>
      <c r="D94" s="41"/>
      <c r="E94" s="270">
        <f>IF(Results!L97&lt;=0,0,C94/Results!L97)</f>
        <v>0.14482317440578227</v>
      </c>
      <c r="F94" s="271">
        <f t="shared" si="3"/>
        <v>0.1</v>
      </c>
      <c r="G94" s="275"/>
    </row>
    <row r="95" spans="2:7" x14ac:dyDescent="0.25">
      <c r="B95" s="273">
        <f t="shared" si="4"/>
        <v>2033</v>
      </c>
      <c r="C95" s="274">
        <v>23</v>
      </c>
      <c r="D95" s="41"/>
      <c r="E95" s="270">
        <f>IF(Results!L98&lt;=0,0,C95/Results!L98)</f>
        <v>0.14508165124781833</v>
      </c>
      <c r="F95" s="271">
        <f t="shared" si="3"/>
        <v>0.1</v>
      </c>
      <c r="G95" s="275"/>
    </row>
    <row r="96" spans="2:7" x14ac:dyDescent="0.25">
      <c r="B96" s="273">
        <f t="shared" si="4"/>
        <v>2034</v>
      </c>
      <c r="C96" s="274">
        <v>23</v>
      </c>
      <c r="D96" s="41"/>
      <c r="E96" s="270">
        <f>IF(Results!L99&lt;=0,0,C96/Results!L99)</f>
        <v>0.14531560946243435</v>
      </c>
      <c r="F96" s="271">
        <f t="shared" si="3"/>
        <v>0.1</v>
      </c>
      <c r="G96" s="275"/>
    </row>
    <row r="97" spans="2:7" x14ac:dyDescent="0.25">
      <c r="B97" s="273">
        <f t="shared" si="4"/>
        <v>2035</v>
      </c>
      <c r="C97" s="274">
        <v>23</v>
      </c>
      <c r="D97" s="41"/>
      <c r="E97" s="270">
        <f>IF(Results!L100&lt;=0,0,C97/Results!L100)</f>
        <v>0.14552726067321045</v>
      </c>
      <c r="F97" s="271">
        <f t="shared" si="3"/>
        <v>0.1</v>
      </c>
      <c r="G97" s="275"/>
    </row>
    <row r="98" spans="2:7" x14ac:dyDescent="0.25">
      <c r="B98" s="273">
        <f t="shared" si="4"/>
        <v>2036</v>
      </c>
      <c r="C98" s="274">
        <v>23</v>
      </c>
      <c r="D98" s="41"/>
      <c r="E98" s="270">
        <f>IF(Results!L101&lt;=0,0,C98/Results!L101)</f>
        <v>0.1457185824003876</v>
      </c>
      <c r="F98" s="271">
        <f t="shared" si="3"/>
        <v>0.1</v>
      </c>
      <c r="G98" s="275"/>
    </row>
    <row r="99" spans="2:7" x14ac:dyDescent="0.25">
      <c r="B99" s="273">
        <f t="shared" si="4"/>
        <v>2037</v>
      </c>
      <c r="C99" s="274">
        <v>23</v>
      </c>
      <c r="D99" s="41"/>
      <c r="E99" s="270">
        <f>IF(Results!L102&lt;=0,0,C99/Results!L102)</f>
        <v>0.14589134780503493</v>
      </c>
      <c r="F99" s="271">
        <f t="shared" si="3"/>
        <v>0.1</v>
      </c>
      <c r="G99" s="275"/>
    </row>
    <row r="100" spans="2:7" x14ac:dyDescent="0.25">
      <c r="B100" s="273">
        <f t="shared" si="4"/>
        <v>2038</v>
      </c>
      <c r="C100" s="274">
        <v>23</v>
      </c>
      <c r="D100" s="41"/>
      <c r="E100" s="270">
        <f>IF(Results!L103&lt;=0,0,C100/Results!L103)</f>
        <v>0.14604715128972842</v>
      </c>
      <c r="F100" s="271">
        <f t="shared" si="3"/>
        <v>0.1</v>
      </c>
      <c r="G100" s="275"/>
    </row>
    <row r="101" spans="2:7" x14ac:dyDescent="0.25">
      <c r="B101" s="273">
        <f t="shared" si="4"/>
        <v>2039</v>
      </c>
      <c r="C101" s="274">
        <v>23</v>
      </c>
      <c r="D101" s="41"/>
      <c r="E101" s="270">
        <f>IF(Results!L104&lt;=0,0,C101/Results!L104)</f>
        <v>0.14618743052373548</v>
      </c>
      <c r="F101" s="271">
        <f t="shared" si="3"/>
        <v>0.1</v>
      </c>
      <c r="G101" s="275"/>
    </row>
    <row r="102" spans="2:7" ht="15.75" thickBot="1" x14ac:dyDescent="0.3">
      <c r="B102" s="276">
        <f t="shared" si="4"/>
        <v>2040</v>
      </c>
      <c r="C102" s="277">
        <v>23</v>
      </c>
      <c r="D102" s="54"/>
      <c r="E102" s="278">
        <f>IF(Results!L105&lt;=0,0,C102/Results!L105)</f>
        <v>0.14631348539345324</v>
      </c>
      <c r="F102" s="279">
        <f t="shared" si="3"/>
        <v>0.1</v>
      </c>
      <c r="G102" s="280"/>
    </row>
    <row r="103" spans="2:7" x14ac:dyDescent="0.25">
      <c r="F103" s="281"/>
    </row>
    <row r="104" spans="2:7" x14ac:dyDescent="0.25">
      <c r="F104" s="281"/>
    </row>
    <row r="105" spans="2:7" x14ac:dyDescent="0.25">
      <c r="F105" s="281"/>
    </row>
    <row r="106" spans="2:7" x14ac:dyDescent="0.25">
      <c r="F106" s="281"/>
    </row>
    <row r="107" spans="2:7" x14ac:dyDescent="0.25">
      <c r="F107" s="281"/>
    </row>
    <row r="108" spans="2:7" x14ac:dyDescent="0.25">
      <c r="F108" s="281"/>
    </row>
    <row r="109" spans="2:7" x14ac:dyDescent="0.25">
      <c r="F109" s="281"/>
    </row>
    <row r="110" spans="2:7" x14ac:dyDescent="0.25">
      <c r="F110" s="281"/>
    </row>
    <row r="111" spans="2:7" x14ac:dyDescent="0.25">
      <c r="F111" s="281"/>
    </row>
    <row r="112" spans="2:7" x14ac:dyDescent="0.25">
      <c r="F112" s="281"/>
    </row>
    <row r="113" spans="6:6" x14ac:dyDescent="0.25">
      <c r="F113" s="281"/>
    </row>
    <row r="114" spans="6:6" x14ac:dyDescent="0.25">
      <c r="F114" s="281"/>
    </row>
    <row r="115" spans="6:6" x14ac:dyDescent="0.25">
      <c r="F115" s="281"/>
    </row>
    <row r="116" spans="6:6" x14ac:dyDescent="0.25">
      <c r="F116" s="281"/>
    </row>
    <row r="117" spans="6:6" x14ac:dyDescent="0.25">
      <c r="F117" s="281"/>
    </row>
    <row r="118" spans="6:6" x14ac:dyDescent="0.25">
      <c r="F118" s="281"/>
    </row>
    <row r="119" spans="6:6" x14ac:dyDescent="0.25">
      <c r="F119" s="281"/>
    </row>
    <row r="120" spans="6:6" x14ac:dyDescent="0.25">
      <c r="F120" s="281"/>
    </row>
    <row r="121" spans="6:6" x14ac:dyDescent="0.25">
      <c r="F121" s="281"/>
    </row>
    <row r="122" spans="6:6" x14ac:dyDescent="0.25">
      <c r="F122" s="281"/>
    </row>
    <row r="123" spans="6:6" x14ac:dyDescent="0.25">
      <c r="F123" s="281"/>
    </row>
    <row r="124" spans="6:6" x14ac:dyDescent="0.25">
      <c r="F124" s="281"/>
    </row>
    <row r="125" spans="6:6" x14ac:dyDescent="0.25">
      <c r="F125" s="281"/>
    </row>
    <row r="126" spans="6:6" x14ac:dyDescent="0.25">
      <c r="F126" s="281"/>
    </row>
    <row r="127" spans="6:6" x14ac:dyDescent="0.25">
      <c r="F127" s="281"/>
    </row>
  </sheetData>
  <pageMargins left="0.7" right="0.7" top="0.78740157499999996" bottom="0.78740157499999996"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00B0F0"/>
  </sheetPr>
  <dimension ref="A1:Q106"/>
  <sheetViews>
    <sheetView workbookViewId="0"/>
  </sheetViews>
  <sheetFormatPr defaultRowHeight="15" x14ac:dyDescent="0.25"/>
  <cols>
    <col min="1" max="1" width="9.140625" style="285"/>
    <col min="2" max="2" width="7" style="283" customWidth="1"/>
    <col min="3" max="13" width="9.140625" style="283"/>
    <col min="14" max="14" width="4.7109375" style="283" customWidth="1"/>
    <col min="15" max="15" width="10.5703125" style="283" customWidth="1"/>
    <col min="16" max="257" width="9.140625" style="285"/>
    <col min="258" max="258" width="7" style="285" customWidth="1"/>
    <col min="259" max="269" width="9.140625" style="285"/>
    <col min="270" max="270" width="4.7109375" style="285" customWidth="1"/>
    <col min="271" max="271" width="10.5703125" style="285" customWidth="1"/>
    <col min="272" max="513" width="9.140625" style="285"/>
    <col min="514" max="514" width="7" style="285" customWidth="1"/>
    <col min="515" max="525" width="9.140625" style="285"/>
    <col min="526" max="526" width="4.7109375" style="285" customWidth="1"/>
    <col min="527" max="527" width="10.5703125" style="285" customWidth="1"/>
    <col min="528" max="769" width="9.140625" style="285"/>
    <col min="770" max="770" width="7" style="285" customWidth="1"/>
    <col min="771" max="781" width="9.140625" style="285"/>
    <col min="782" max="782" width="4.7109375" style="285" customWidth="1"/>
    <col min="783" max="783" width="10.5703125" style="285" customWidth="1"/>
    <col min="784" max="1025" width="9.140625" style="285"/>
    <col min="1026" max="1026" width="7" style="285" customWidth="1"/>
    <col min="1027" max="1037" width="9.140625" style="285"/>
    <col min="1038" max="1038" width="4.7109375" style="285" customWidth="1"/>
    <col min="1039" max="1039" width="10.5703125" style="285" customWidth="1"/>
    <col min="1040" max="1281" width="9.140625" style="285"/>
    <col min="1282" max="1282" width="7" style="285" customWidth="1"/>
    <col min="1283" max="1293" width="9.140625" style="285"/>
    <col min="1294" max="1294" width="4.7109375" style="285" customWidth="1"/>
    <col min="1295" max="1295" width="10.5703125" style="285" customWidth="1"/>
    <col min="1296" max="1537" width="9.140625" style="285"/>
    <col min="1538" max="1538" width="7" style="285" customWidth="1"/>
    <col min="1539" max="1549" width="9.140625" style="285"/>
    <col min="1550" max="1550" width="4.7109375" style="285" customWidth="1"/>
    <col min="1551" max="1551" width="10.5703125" style="285" customWidth="1"/>
    <col min="1552" max="1793" width="9.140625" style="285"/>
    <col min="1794" max="1794" width="7" style="285" customWidth="1"/>
    <col min="1795" max="1805" width="9.140625" style="285"/>
    <col min="1806" max="1806" width="4.7109375" style="285" customWidth="1"/>
    <col min="1807" max="1807" width="10.5703125" style="285" customWidth="1"/>
    <col min="1808" max="2049" width="9.140625" style="285"/>
    <col min="2050" max="2050" width="7" style="285" customWidth="1"/>
    <col min="2051" max="2061" width="9.140625" style="285"/>
    <col min="2062" max="2062" width="4.7109375" style="285" customWidth="1"/>
    <col min="2063" max="2063" width="10.5703125" style="285" customWidth="1"/>
    <col min="2064" max="2305" width="9.140625" style="285"/>
    <col min="2306" max="2306" width="7" style="285" customWidth="1"/>
    <col min="2307" max="2317" width="9.140625" style="285"/>
    <col min="2318" max="2318" width="4.7109375" style="285" customWidth="1"/>
    <col min="2319" max="2319" width="10.5703125" style="285" customWidth="1"/>
    <col min="2320" max="2561" width="9.140625" style="285"/>
    <col min="2562" max="2562" width="7" style="285" customWidth="1"/>
    <col min="2563" max="2573" width="9.140625" style="285"/>
    <col min="2574" max="2574" width="4.7109375" style="285" customWidth="1"/>
    <col min="2575" max="2575" width="10.5703125" style="285" customWidth="1"/>
    <col min="2576" max="2817" width="9.140625" style="285"/>
    <col min="2818" max="2818" width="7" style="285" customWidth="1"/>
    <col min="2819" max="2829" width="9.140625" style="285"/>
    <col min="2830" max="2830" width="4.7109375" style="285" customWidth="1"/>
    <col min="2831" max="2831" width="10.5703125" style="285" customWidth="1"/>
    <col min="2832" max="3073" width="9.140625" style="285"/>
    <col min="3074" max="3074" width="7" style="285" customWidth="1"/>
    <col min="3075" max="3085" width="9.140625" style="285"/>
    <col min="3086" max="3086" width="4.7109375" style="285" customWidth="1"/>
    <col min="3087" max="3087" width="10.5703125" style="285" customWidth="1"/>
    <col min="3088" max="3329" width="9.140625" style="285"/>
    <col min="3330" max="3330" width="7" style="285" customWidth="1"/>
    <col min="3331" max="3341" width="9.140625" style="285"/>
    <col min="3342" max="3342" width="4.7109375" style="285" customWidth="1"/>
    <col min="3343" max="3343" width="10.5703125" style="285" customWidth="1"/>
    <col min="3344" max="3585" width="9.140625" style="285"/>
    <col min="3586" max="3586" width="7" style="285" customWidth="1"/>
    <col min="3587" max="3597" width="9.140625" style="285"/>
    <col min="3598" max="3598" width="4.7109375" style="285" customWidth="1"/>
    <col min="3599" max="3599" width="10.5703125" style="285" customWidth="1"/>
    <col min="3600" max="3841" width="9.140625" style="285"/>
    <col min="3842" max="3842" width="7" style="285" customWidth="1"/>
    <col min="3843" max="3853" width="9.140625" style="285"/>
    <col min="3854" max="3854" width="4.7109375" style="285" customWidth="1"/>
    <col min="3855" max="3855" width="10.5703125" style="285" customWidth="1"/>
    <col min="3856" max="4097" width="9.140625" style="285"/>
    <col min="4098" max="4098" width="7" style="285" customWidth="1"/>
    <col min="4099" max="4109" width="9.140625" style="285"/>
    <col min="4110" max="4110" width="4.7109375" style="285" customWidth="1"/>
    <col min="4111" max="4111" width="10.5703125" style="285" customWidth="1"/>
    <col min="4112" max="4353" width="9.140625" style="285"/>
    <col min="4354" max="4354" width="7" style="285" customWidth="1"/>
    <col min="4355" max="4365" width="9.140625" style="285"/>
    <col min="4366" max="4366" width="4.7109375" style="285" customWidth="1"/>
    <col min="4367" max="4367" width="10.5703125" style="285" customWidth="1"/>
    <col min="4368" max="4609" width="9.140625" style="285"/>
    <col min="4610" max="4610" width="7" style="285" customWidth="1"/>
    <col min="4611" max="4621" width="9.140625" style="285"/>
    <col min="4622" max="4622" width="4.7109375" style="285" customWidth="1"/>
    <col min="4623" max="4623" width="10.5703125" style="285" customWidth="1"/>
    <col min="4624" max="4865" width="9.140625" style="285"/>
    <col min="4866" max="4866" width="7" style="285" customWidth="1"/>
    <col min="4867" max="4877" width="9.140625" style="285"/>
    <col min="4878" max="4878" width="4.7109375" style="285" customWidth="1"/>
    <col min="4879" max="4879" width="10.5703125" style="285" customWidth="1"/>
    <col min="4880" max="5121" width="9.140625" style="285"/>
    <col min="5122" max="5122" width="7" style="285" customWidth="1"/>
    <col min="5123" max="5133" width="9.140625" style="285"/>
    <col min="5134" max="5134" width="4.7109375" style="285" customWidth="1"/>
    <col min="5135" max="5135" width="10.5703125" style="285" customWidth="1"/>
    <col min="5136" max="5377" width="9.140625" style="285"/>
    <col min="5378" max="5378" width="7" style="285" customWidth="1"/>
    <col min="5379" max="5389" width="9.140625" style="285"/>
    <col min="5390" max="5390" width="4.7109375" style="285" customWidth="1"/>
    <col min="5391" max="5391" width="10.5703125" style="285" customWidth="1"/>
    <col min="5392" max="5633" width="9.140625" style="285"/>
    <col min="5634" max="5634" width="7" style="285" customWidth="1"/>
    <col min="5635" max="5645" width="9.140625" style="285"/>
    <col min="5646" max="5646" width="4.7109375" style="285" customWidth="1"/>
    <col min="5647" max="5647" width="10.5703125" style="285" customWidth="1"/>
    <col min="5648" max="5889" width="9.140625" style="285"/>
    <col min="5890" max="5890" width="7" style="285" customWidth="1"/>
    <col min="5891" max="5901" width="9.140625" style="285"/>
    <col min="5902" max="5902" width="4.7109375" style="285" customWidth="1"/>
    <col min="5903" max="5903" width="10.5703125" style="285" customWidth="1"/>
    <col min="5904" max="6145" width="9.140625" style="285"/>
    <col min="6146" max="6146" width="7" style="285" customWidth="1"/>
    <col min="6147" max="6157" width="9.140625" style="285"/>
    <col min="6158" max="6158" width="4.7109375" style="285" customWidth="1"/>
    <col min="6159" max="6159" width="10.5703125" style="285" customWidth="1"/>
    <col min="6160" max="6401" width="9.140625" style="285"/>
    <col min="6402" max="6402" width="7" style="285" customWidth="1"/>
    <col min="6403" max="6413" width="9.140625" style="285"/>
    <col min="6414" max="6414" width="4.7109375" style="285" customWidth="1"/>
    <col min="6415" max="6415" width="10.5703125" style="285" customWidth="1"/>
    <col min="6416" max="6657" width="9.140625" style="285"/>
    <col min="6658" max="6658" width="7" style="285" customWidth="1"/>
    <col min="6659" max="6669" width="9.140625" style="285"/>
    <col min="6670" max="6670" width="4.7109375" style="285" customWidth="1"/>
    <col min="6671" max="6671" width="10.5703125" style="285" customWidth="1"/>
    <col min="6672" max="6913" width="9.140625" style="285"/>
    <col min="6914" max="6914" width="7" style="285" customWidth="1"/>
    <col min="6915" max="6925" width="9.140625" style="285"/>
    <col min="6926" max="6926" width="4.7109375" style="285" customWidth="1"/>
    <col min="6927" max="6927" width="10.5703125" style="285" customWidth="1"/>
    <col min="6928" max="7169" width="9.140625" style="285"/>
    <col min="7170" max="7170" width="7" style="285" customWidth="1"/>
    <col min="7171" max="7181" width="9.140625" style="285"/>
    <col min="7182" max="7182" width="4.7109375" style="285" customWidth="1"/>
    <col min="7183" max="7183" width="10.5703125" style="285" customWidth="1"/>
    <col min="7184" max="7425" width="9.140625" style="285"/>
    <col min="7426" max="7426" width="7" style="285" customWidth="1"/>
    <col min="7427" max="7437" width="9.140625" style="285"/>
    <col min="7438" max="7438" width="4.7109375" style="285" customWidth="1"/>
    <col min="7439" max="7439" width="10.5703125" style="285" customWidth="1"/>
    <col min="7440" max="7681" width="9.140625" style="285"/>
    <col min="7682" max="7682" width="7" style="285" customWidth="1"/>
    <col min="7683" max="7693" width="9.140625" style="285"/>
    <col min="7694" max="7694" width="4.7109375" style="285" customWidth="1"/>
    <col min="7695" max="7695" width="10.5703125" style="285" customWidth="1"/>
    <col min="7696" max="7937" width="9.140625" style="285"/>
    <col min="7938" max="7938" width="7" style="285" customWidth="1"/>
    <col min="7939" max="7949" width="9.140625" style="285"/>
    <col min="7950" max="7950" width="4.7109375" style="285" customWidth="1"/>
    <col min="7951" max="7951" width="10.5703125" style="285" customWidth="1"/>
    <col min="7952" max="8193" width="9.140625" style="285"/>
    <col min="8194" max="8194" width="7" style="285" customWidth="1"/>
    <col min="8195" max="8205" width="9.140625" style="285"/>
    <col min="8206" max="8206" width="4.7109375" style="285" customWidth="1"/>
    <col min="8207" max="8207" width="10.5703125" style="285" customWidth="1"/>
    <col min="8208" max="8449" width="9.140625" style="285"/>
    <col min="8450" max="8450" width="7" style="285" customWidth="1"/>
    <col min="8451" max="8461" width="9.140625" style="285"/>
    <col min="8462" max="8462" width="4.7109375" style="285" customWidth="1"/>
    <col min="8463" max="8463" width="10.5703125" style="285" customWidth="1"/>
    <col min="8464" max="8705" width="9.140625" style="285"/>
    <col min="8706" max="8706" width="7" style="285" customWidth="1"/>
    <col min="8707" max="8717" width="9.140625" style="285"/>
    <col min="8718" max="8718" width="4.7109375" style="285" customWidth="1"/>
    <col min="8719" max="8719" width="10.5703125" style="285" customWidth="1"/>
    <col min="8720" max="8961" width="9.140625" style="285"/>
    <col min="8962" max="8962" width="7" style="285" customWidth="1"/>
    <col min="8963" max="8973" width="9.140625" style="285"/>
    <col min="8974" max="8974" width="4.7109375" style="285" customWidth="1"/>
    <col min="8975" max="8975" width="10.5703125" style="285" customWidth="1"/>
    <col min="8976" max="9217" width="9.140625" style="285"/>
    <col min="9218" max="9218" width="7" style="285" customWidth="1"/>
    <col min="9219" max="9229" width="9.140625" style="285"/>
    <col min="9230" max="9230" width="4.7109375" style="285" customWidth="1"/>
    <col min="9231" max="9231" width="10.5703125" style="285" customWidth="1"/>
    <col min="9232" max="9473" width="9.140625" style="285"/>
    <col min="9474" max="9474" width="7" style="285" customWidth="1"/>
    <col min="9475" max="9485" width="9.140625" style="285"/>
    <col min="9486" max="9486" width="4.7109375" style="285" customWidth="1"/>
    <col min="9487" max="9487" width="10.5703125" style="285" customWidth="1"/>
    <col min="9488" max="9729" width="9.140625" style="285"/>
    <col min="9730" max="9730" width="7" style="285" customWidth="1"/>
    <col min="9731" max="9741" width="9.140625" style="285"/>
    <col min="9742" max="9742" width="4.7109375" style="285" customWidth="1"/>
    <col min="9743" max="9743" width="10.5703125" style="285" customWidth="1"/>
    <col min="9744" max="9985" width="9.140625" style="285"/>
    <col min="9986" max="9986" width="7" style="285" customWidth="1"/>
    <col min="9987" max="9997" width="9.140625" style="285"/>
    <col min="9998" max="9998" width="4.7109375" style="285" customWidth="1"/>
    <col min="9999" max="9999" width="10.5703125" style="285" customWidth="1"/>
    <col min="10000" max="10241" width="9.140625" style="285"/>
    <col min="10242" max="10242" width="7" style="285" customWidth="1"/>
    <col min="10243" max="10253" width="9.140625" style="285"/>
    <col min="10254" max="10254" width="4.7109375" style="285" customWidth="1"/>
    <col min="10255" max="10255" width="10.5703125" style="285" customWidth="1"/>
    <col min="10256" max="10497" width="9.140625" style="285"/>
    <col min="10498" max="10498" width="7" style="285" customWidth="1"/>
    <col min="10499" max="10509" width="9.140625" style="285"/>
    <col min="10510" max="10510" width="4.7109375" style="285" customWidth="1"/>
    <col min="10511" max="10511" width="10.5703125" style="285" customWidth="1"/>
    <col min="10512" max="10753" width="9.140625" style="285"/>
    <col min="10754" max="10754" width="7" style="285" customWidth="1"/>
    <col min="10755" max="10765" width="9.140625" style="285"/>
    <col min="10766" max="10766" width="4.7109375" style="285" customWidth="1"/>
    <col min="10767" max="10767" width="10.5703125" style="285" customWidth="1"/>
    <col min="10768" max="11009" width="9.140625" style="285"/>
    <col min="11010" max="11010" width="7" style="285" customWidth="1"/>
    <col min="11011" max="11021" width="9.140625" style="285"/>
    <col min="11022" max="11022" width="4.7109375" style="285" customWidth="1"/>
    <col min="11023" max="11023" width="10.5703125" style="285" customWidth="1"/>
    <col min="11024" max="11265" width="9.140625" style="285"/>
    <col min="11266" max="11266" width="7" style="285" customWidth="1"/>
    <col min="11267" max="11277" width="9.140625" style="285"/>
    <col min="11278" max="11278" width="4.7109375" style="285" customWidth="1"/>
    <col min="11279" max="11279" width="10.5703125" style="285" customWidth="1"/>
    <col min="11280" max="11521" width="9.140625" style="285"/>
    <col min="11522" max="11522" width="7" style="285" customWidth="1"/>
    <col min="11523" max="11533" width="9.140625" style="285"/>
    <col min="11534" max="11534" width="4.7109375" style="285" customWidth="1"/>
    <col min="11535" max="11535" width="10.5703125" style="285" customWidth="1"/>
    <col min="11536" max="11777" width="9.140625" style="285"/>
    <col min="11778" max="11778" width="7" style="285" customWidth="1"/>
    <col min="11779" max="11789" width="9.140625" style="285"/>
    <col min="11790" max="11790" width="4.7109375" style="285" customWidth="1"/>
    <col min="11791" max="11791" width="10.5703125" style="285" customWidth="1"/>
    <col min="11792" max="12033" width="9.140625" style="285"/>
    <col min="12034" max="12034" width="7" style="285" customWidth="1"/>
    <col min="12035" max="12045" width="9.140625" style="285"/>
    <col min="12046" max="12046" width="4.7109375" style="285" customWidth="1"/>
    <col min="12047" max="12047" width="10.5703125" style="285" customWidth="1"/>
    <col min="12048" max="12289" width="9.140625" style="285"/>
    <col min="12290" max="12290" width="7" style="285" customWidth="1"/>
    <col min="12291" max="12301" width="9.140625" style="285"/>
    <col min="12302" max="12302" width="4.7109375" style="285" customWidth="1"/>
    <col min="12303" max="12303" width="10.5703125" style="285" customWidth="1"/>
    <col min="12304" max="12545" width="9.140625" style="285"/>
    <col min="12546" max="12546" width="7" style="285" customWidth="1"/>
    <col min="12547" max="12557" width="9.140625" style="285"/>
    <col min="12558" max="12558" width="4.7109375" style="285" customWidth="1"/>
    <col min="12559" max="12559" width="10.5703125" style="285" customWidth="1"/>
    <col min="12560" max="12801" width="9.140625" style="285"/>
    <col min="12802" max="12802" width="7" style="285" customWidth="1"/>
    <col min="12803" max="12813" width="9.140625" style="285"/>
    <col min="12814" max="12814" width="4.7109375" style="285" customWidth="1"/>
    <col min="12815" max="12815" width="10.5703125" style="285" customWidth="1"/>
    <col min="12816" max="13057" width="9.140625" style="285"/>
    <col min="13058" max="13058" width="7" style="285" customWidth="1"/>
    <col min="13059" max="13069" width="9.140625" style="285"/>
    <col min="13070" max="13070" width="4.7109375" style="285" customWidth="1"/>
    <col min="13071" max="13071" width="10.5703125" style="285" customWidth="1"/>
    <col min="13072" max="13313" width="9.140625" style="285"/>
    <col min="13314" max="13314" width="7" style="285" customWidth="1"/>
    <col min="13315" max="13325" width="9.140625" style="285"/>
    <col min="13326" max="13326" width="4.7109375" style="285" customWidth="1"/>
    <col min="13327" max="13327" width="10.5703125" style="285" customWidth="1"/>
    <col min="13328" max="13569" width="9.140625" style="285"/>
    <col min="13570" max="13570" width="7" style="285" customWidth="1"/>
    <col min="13571" max="13581" width="9.140625" style="285"/>
    <col min="13582" max="13582" width="4.7109375" style="285" customWidth="1"/>
    <col min="13583" max="13583" width="10.5703125" style="285" customWidth="1"/>
    <col min="13584" max="13825" width="9.140625" style="285"/>
    <col min="13826" max="13826" width="7" style="285" customWidth="1"/>
    <col min="13827" max="13837" width="9.140625" style="285"/>
    <col min="13838" max="13838" width="4.7109375" style="285" customWidth="1"/>
    <col min="13839" max="13839" width="10.5703125" style="285" customWidth="1"/>
    <col min="13840" max="14081" width="9.140625" style="285"/>
    <col min="14082" max="14082" width="7" style="285" customWidth="1"/>
    <col min="14083" max="14093" width="9.140625" style="285"/>
    <col min="14094" max="14094" width="4.7109375" style="285" customWidth="1"/>
    <col min="14095" max="14095" width="10.5703125" style="285" customWidth="1"/>
    <col min="14096" max="14337" width="9.140625" style="285"/>
    <col min="14338" max="14338" width="7" style="285" customWidth="1"/>
    <col min="14339" max="14349" width="9.140625" style="285"/>
    <col min="14350" max="14350" width="4.7109375" style="285" customWidth="1"/>
    <col min="14351" max="14351" width="10.5703125" style="285" customWidth="1"/>
    <col min="14352" max="14593" width="9.140625" style="285"/>
    <col min="14594" max="14594" width="7" style="285" customWidth="1"/>
    <col min="14595" max="14605" width="9.140625" style="285"/>
    <col min="14606" max="14606" width="4.7109375" style="285" customWidth="1"/>
    <col min="14607" max="14607" width="10.5703125" style="285" customWidth="1"/>
    <col min="14608" max="14849" width="9.140625" style="285"/>
    <col min="14850" max="14850" width="7" style="285" customWidth="1"/>
    <col min="14851" max="14861" width="9.140625" style="285"/>
    <col min="14862" max="14862" width="4.7109375" style="285" customWidth="1"/>
    <col min="14863" max="14863" width="10.5703125" style="285" customWidth="1"/>
    <col min="14864" max="15105" width="9.140625" style="285"/>
    <col min="15106" max="15106" width="7" style="285" customWidth="1"/>
    <col min="15107" max="15117" width="9.140625" style="285"/>
    <col min="15118" max="15118" width="4.7109375" style="285" customWidth="1"/>
    <col min="15119" max="15119" width="10.5703125" style="285" customWidth="1"/>
    <col min="15120" max="15361" width="9.140625" style="285"/>
    <col min="15362" max="15362" width="7" style="285" customWidth="1"/>
    <col min="15363" max="15373" width="9.140625" style="285"/>
    <col min="15374" max="15374" width="4.7109375" style="285" customWidth="1"/>
    <col min="15375" max="15375" width="10.5703125" style="285" customWidth="1"/>
    <col min="15376" max="15617" width="9.140625" style="285"/>
    <col min="15618" max="15618" width="7" style="285" customWidth="1"/>
    <col min="15619" max="15629" width="9.140625" style="285"/>
    <col min="15630" max="15630" width="4.7109375" style="285" customWidth="1"/>
    <col min="15631" max="15631" width="10.5703125" style="285" customWidth="1"/>
    <col min="15632" max="15873" width="9.140625" style="285"/>
    <col min="15874" max="15874" width="7" style="285" customWidth="1"/>
    <col min="15875" max="15885" width="9.140625" style="285"/>
    <col min="15886" max="15886" width="4.7109375" style="285" customWidth="1"/>
    <col min="15887" max="15887" width="10.5703125" style="285" customWidth="1"/>
    <col min="15888" max="16129" width="9.140625" style="285"/>
    <col min="16130" max="16130" width="7" style="285" customWidth="1"/>
    <col min="16131" max="16141" width="9.140625" style="285"/>
    <col min="16142" max="16142" width="4.7109375" style="285" customWidth="1"/>
    <col min="16143" max="16143" width="10.5703125" style="285" customWidth="1"/>
    <col min="16144" max="16384" width="9.140625" style="285"/>
  </cols>
  <sheetData>
    <row r="1" spans="1:17" x14ac:dyDescent="0.25">
      <c r="A1" s="282"/>
      <c r="N1" s="284"/>
    </row>
    <row r="2" spans="1:17" ht="15.75" x14ac:dyDescent="0.25">
      <c r="A2" s="282"/>
      <c r="B2" s="286" t="s">
        <v>112</v>
      </c>
      <c r="D2" s="286"/>
    </row>
    <row r="3" spans="1:17" ht="15.75" x14ac:dyDescent="0.25">
      <c r="A3" s="282"/>
      <c r="B3" s="286"/>
      <c r="D3" s="286"/>
      <c r="G3" s="287"/>
      <c r="H3" s="288"/>
      <c r="I3" s="288"/>
      <c r="J3" s="288"/>
      <c r="K3" s="288"/>
      <c r="L3" s="288"/>
      <c r="M3" s="288"/>
    </row>
    <row r="4" spans="1:17" ht="16.5" thickBot="1" x14ac:dyDescent="0.3">
      <c r="A4" s="282"/>
      <c r="B4" s="287" t="s">
        <v>4</v>
      </c>
      <c r="D4" s="286"/>
      <c r="G4" s="287"/>
      <c r="H4" s="288"/>
      <c r="I4" s="288"/>
      <c r="J4" s="288"/>
      <c r="K4" s="288"/>
      <c r="L4" s="288"/>
      <c r="M4" s="288"/>
    </row>
    <row r="5" spans="1:17" ht="15.75" thickBot="1" x14ac:dyDescent="0.3">
      <c r="A5" s="282"/>
      <c r="B5" s="718" t="str">
        <f>country</f>
        <v>Czech Republic</v>
      </c>
      <c r="C5" s="719"/>
      <c r="D5" s="719"/>
      <c r="E5" s="719"/>
      <c r="F5" s="719"/>
      <c r="G5" s="719"/>
      <c r="H5" s="720"/>
      <c r="I5" s="288"/>
      <c r="J5" s="288"/>
      <c r="K5" s="288"/>
      <c r="L5" s="288"/>
      <c r="M5" s="288"/>
    </row>
    <row r="6" spans="1:17" x14ac:dyDescent="0.25">
      <c r="A6" s="282"/>
      <c r="C6" s="287"/>
      <c r="D6" s="287"/>
    </row>
    <row r="7" spans="1:17" x14ac:dyDescent="0.25">
      <c r="A7" s="282"/>
      <c r="B7" s="283" t="s">
        <v>113</v>
      </c>
      <c r="N7" s="284"/>
    </row>
    <row r="8" spans="1:17" x14ac:dyDescent="0.25">
      <c r="A8" s="282"/>
      <c r="B8" s="283" t="s">
        <v>114</v>
      </c>
      <c r="N8" s="284"/>
    </row>
    <row r="9" spans="1:17" ht="15.75" thickBot="1" x14ac:dyDescent="0.3">
      <c r="B9" s="289"/>
      <c r="N9" s="284"/>
    </row>
    <row r="10" spans="1:17" ht="15.75" thickBot="1" x14ac:dyDescent="0.3">
      <c r="B10" s="224"/>
      <c r="C10" s="721" t="s">
        <v>115</v>
      </c>
      <c r="D10" s="722"/>
      <c r="E10" s="722"/>
      <c r="F10" s="722"/>
      <c r="G10" s="722"/>
      <c r="H10" s="722"/>
      <c r="I10" s="722"/>
      <c r="J10" s="722"/>
      <c r="K10" s="722"/>
      <c r="L10" s="723"/>
      <c r="M10" s="290"/>
      <c r="N10" s="291"/>
      <c r="O10" s="224"/>
    </row>
    <row r="11" spans="1:17" ht="27" thickBot="1" x14ac:dyDescent="0.3">
      <c r="A11" s="292"/>
      <c r="B11" s="293" t="s">
        <v>66</v>
      </c>
      <c r="C11" s="294" t="s">
        <v>81</v>
      </c>
      <c r="D11" s="295" t="s">
        <v>22</v>
      </c>
      <c r="E11" s="295" t="s">
        <v>23</v>
      </c>
      <c r="F11" s="295" t="s">
        <v>82</v>
      </c>
      <c r="G11" s="295" t="s">
        <v>83</v>
      </c>
      <c r="H11" s="296" t="s">
        <v>84</v>
      </c>
      <c r="I11" s="297" t="s">
        <v>101</v>
      </c>
      <c r="J11" s="297" t="s">
        <v>49</v>
      </c>
      <c r="K11" s="297" t="s">
        <v>50</v>
      </c>
      <c r="L11" s="298" t="s">
        <v>86</v>
      </c>
      <c r="M11" s="297" t="s">
        <v>116</v>
      </c>
      <c r="N11" s="299"/>
      <c r="O11" s="300" t="s">
        <v>117</v>
      </c>
      <c r="P11" s="292"/>
      <c r="Q11" s="292"/>
    </row>
    <row r="12" spans="1:17" ht="24" thickBot="1" x14ac:dyDescent="0.3">
      <c r="A12" s="301"/>
      <c r="B12" s="302"/>
      <c r="C12" s="303" t="s">
        <v>118</v>
      </c>
      <c r="D12" s="304" t="s">
        <v>119</v>
      </c>
      <c r="E12" s="304" t="s">
        <v>120</v>
      </c>
      <c r="F12" s="304" t="s">
        <v>121</v>
      </c>
      <c r="G12" s="304" t="s">
        <v>122</v>
      </c>
      <c r="H12" s="305" t="s">
        <v>123</v>
      </c>
      <c r="I12" s="306" t="s">
        <v>124</v>
      </c>
      <c r="J12" s="307" t="s">
        <v>125</v>
      </c>
      <c r="K12" s="307" t="s">
        <v>126</v>
      </c>
      <c r="L12" s="308" t="s">
        <v>127</v>
      </c>
      <c r="M12" s="307" t="s">
        <v>128</v>
      </c>
      <c r="N12" s="309"/>
      <c r="O12" s="310" t="s">
        <v>129</v>
      </c>
      <c r="P12" s="301"/>
      <c r="Q12" s="301"/>
    </row>
    <row r="13" spans="1:17" ht="15.75" thickBot="1" x14ac:dyDescent="0.3">
      <c r="A13" s="311"/>
      <c r="B13" s="312"/>
      <c r="C13" s="313" t="s">
        <v>93</v>
      </c>
      <c r="D13" s="314" t="s">
        <v>93</v>
      </c>
      <c r="E13" s="314" t="s">
        <v>93</v>
      </c>
      <c r="F13" s="314" t="s">
        <v>93</v>
      </c>
      <c r="G13" s="314" t="s">
        <v>93</v>
      </c>
      <c r="H13" s="315" t="s">
        <v>93</v>
      </c>
      <c r="I13" s="316" t="s">
        <v>93</v>
      </c>
      <c r="J13" s="316" t="s">
        <v>93</v>
      </c>
      <c r="K13" s="316" t="s">
        <v>93</v>
      </c>
      <c r="L13" s="317" t="s">
        <v>93</v>
      </c>
      <c r="M13" s="316" t="s">
        <v>93</v>
      </c>
      <c r="N13" s="318"/>
      <c r="O13" s="319" t="s">
        <v>93</v>
      </c>
      <c r="P13" s="311"/>
      <c r="Q13" s="311"/>
    </row>
    <row r="14" spans="1:17" ht="15.75" thickBot="1" x14ac:dyDescent="0.3">
      <c r="A14" s="311"/>
      <c r="B14" s="320"/>
      <c r="C14" s="321"/>
      <c r="D14" s="322"/>
      <c r="E14" s="322"/>
      <c r="F14" s="322"/>
      <c r="G14" s="322"/>
      <c r="H14" s="323"/>
      <c r="I14" s="324"/>
      <c r="J14" s="324"/>
      <c r="K14" s="325"/>
      <c r="L14" s="326"/>
      <c r="M14" s="325"/>
      <c r="N14" s="327"/>
      <c r="O14" s="328"/>
      <c r="P14" s="311"/>
      <c r="Q14" s="311"/>
    </row>
    <row r="15" spans="1:17" x14ac:dyDescent="0.25">
      <c r="B15" s="329">
        <f>year</f>
        <v>1950</v>
      </c>
      <c r="C15" s="330">
        <f>IF(Select2=1,Food!$J19,"")</f>
        <v>0</v>
      </c>
      <c r="D15" s="331">
        <f>IF(Select2=1,Garden!$J19,"")</f>
        <v>0</v>
      </c>
      <c r="E15" s="331">
        <f>IF(Select2=1,Paper!$J19,"")</f>
        <v>0</v>
      </c>
      <c r="F15" s="331">
        <f>IF(Select2=1,Wood!$J19,"")</f>
        <v>0</v>
      </c>
      <c r="G15" s="331">
        <f>IF(Select2=1,Textiles!$J19,"")</f>
        <v>0</v>
      </c>
      <c r="H15" s="332">
        <f>IF(Select2=1,Nappies!$J19,"")</f>
        <v>0</v>
      </c>
      <c r="I15" s="333">
        <f>Sludge!$J19</f>
        <v>0</v>
      </c>
      <c r="J15" s="334" t="str">
        <f>IF(Select2=2,MSW!$J19,"")</f>
        <v/>
      </c>
      <c r="K15" s="333">
        <f>Industry!$J19</f>
        <v>0</v>
      </c>
      <c r="L15" s="335">
        <f>SUM(C15:K15)</f>
        <v>0</v>
      </c>
      <c r="M15" s="336">
        <f>Recovery_OX!C12</f>
        <v>0</v>
      </c>
      <c r="N15" s="291"/>
      <c r="O15" s="337">
        <f>(L15-M15)*(1-Recovery_OX!F12)</f>
        <v>0</v>
      </c>
    </row>
    <row r="16" spans="1:17" x14ac:dyDescent="0.25">
      <c r="B16" s="338">
        <f t="shared" ref="B16:B79" si="0">B15+1</f>
        <v>1951</v>
      </c>
      <c r="C16" s="339">
        <f>IF(Select2=1,Food!$J20,"")</f>
        <v>5.7375327278591799</v>
      </c>
      <c r="D16" s="340">
        <f>IF(Select2=1,Garden!$J20,"")</f>
        <v>0</v>
      </c>
      <c r="E16" s="340">
        <f>IF(Select2=1,Paper!$J20,"")</f>
        <v>3.8207870220016216</v>
      </c>
      <c r="F16" s="340">
        <f>IF(Select2=1,Wood!$J20,"")</f>
        <v>0.71713617299880439</v>
      </c>
      <c r="G16" s="340">
        <f>IF(Select2=1,Textiles!$J20,"")</f>
        <v>0.49424859642406305</v>
      </c>
      <c r="H16" s="341">
        <f>IF(Select2=1,Nappies!$J20,"")</f>
        <v>0</v>
      </c>
      <c r="I16" s="342">
        <f>Sludge!$J20</f>
        <v>0</v>
      </c>
      <c r="J16" s="342" t="str">
        <f>IF(Select2=2,MSW!$J20,"")</f>
        <v/>
      </c>
      <c r="K16" s="342">
        <f>Industry!$J20</f>
        <v>0</v>
      </c>
      <c r="L16" s="343">
        <f t="shared" ref="L16:L79" si="1">SUM(C16:K16)</f>
        <v>10.769704519283669</v>
      </c>
      <c r="M16" s="344">
        <f>Recovery_OX!C13</f>
        <v>0</v>
      </c>
      <c r="N16" s="291"/>
      <c r="O16" s="345">
        <f>(L16-M16)*(1-Recovery_OX!F13)</f>
        <v>9.6927340673553033</v>
      </c>
    </row>
    <row r="17" spans="2:15" x14ac:dyDescent="0.25">
      <c r="B17" s="338">
        <f t="shared" si="0"/>
        <v>1952</v>
      </c>
      <c r="C17" s="339">
        <f>IF(Select2=1,Food!$J21,"")</f>
        <v>10.506020756724716</v>
      </c>
      <c r="D17" s="340">
        <f>IF(Select2=1,Garden!$J21,"")</f>
        <v>0</v>
      </c>
      <c r="E17" s="340">
        <f>IF(Select2=1,Paper!$J21,"")</f>
        <v>7.4190687297017295</v>
      </c>
      <c r="F17" s="340">
        <f>IF(Select2=1,Wood!$J21,"")</f>
        <v>1.4130777690315643</v>
      </c>
      <c r="G17" s="340">
        <f>IF(Select2=1,Textiles!$J21,"")</f>
        <v>0.95971439531004044</v>
      </c>
      <c r="H17" s="341">
        <f>IF(Select2=1,Nappies!$J21,"")</f>
        <v>0</v>
      </c>
      <c r="I17" s="342">
        <f>Sludge!$J21</f>
        <v>0</v>
      </c>
      <c r="J17" s="342" t="str">
        <f>IF(Select2=2,MSW!$J21,"")</f>
        <v/>
      </c>
      <c r="K17" s="342">
        <f>Industry!$J21</f>
        <v>0</v>
      </c>
      <c r="L17" s="343">
        <f t="shared" si="1"/>
        <v>20.297881650768048</v>
      </c>
      <c r="M17" s="344">
        <f>Recovery_OX!C14</f>
        <v>0</v>
      </c>
      <c r="N17" s="291"/>
      <c r="O17" s="345">
        <f>(L17-M17)*(1-Recovery_OX!F14)</f>
        <v>18.268093485691242</v>
      </c>
    </row>
    <row r="18" spans="2:15" x14ac:dyDescent="0.25">
      <c r="B18" s="338">
        <f t="shared" si="0"/>
        <v>1953</v>
      </c>
      <c r="C18" s="339">
        <f>IF(Select2=1,Food!$J22,"")</f>
        <v>14.469131585012441</v>
      </c>
      <c r="D18" s="340">
        <f>IF(Select2=1,Garden!$J22,"")</f>
        <v>0</v>
      </c>
      <c r="E18" s="340">
        <f>IF(Select2=1,Paper!$J22,"")</f>
        <v>10.807802823858655</v>
      </c>
      <c r="F18" s="340">
        <f>IF(Select2=1,Wood!$J22,"")</f>
        <v>2.0884511825121765</v>
      </c>
      <c r="G18" s="340">
        <f>IF(Select2=1,Textiles!$J22,"")</f>
        <v>1.3980735762973124</v>
      </c>
      <c r="H18" s="341">
        <f>IF(Select2=1,Nappies!$J22,"")</f>
        <v>0</v>
      </c>
      <c r="I18" s="342">
        <f>Sludge!$J22</f>
        <v>0</v>
      </c>
      <c r="J18" s="342" t="str">
        <f>IF(Select2=2,MSW!$J22,"")</f>
        <v/>
      </c>
      <c r="K18" s="342">
        <f>Industry!$J22</f>
        <v>0</v>
      </c>
      <c r="L18" s="343">
        <f t="shared" si="1"/>
        <v>28.763459167680587</v>
      </c>
      <c r="M18" s="344">
        <f>Recovery_OX!C15</f>
        <v>0</v>
      </c>
      <c r="N18" s="291"/>
      <c r="O18" s="345">
        <f>(L18-M18)*(1-Recovery_OX!F15)</f>
        <v>25.887113250912527</v>
      </c>
    </row>
    <row r="19" spans="2:15" x14ac:dyDescent="0.25">
      <c r="B19" s="338">
        <f t="shared" si="0"/>
        <v>1954</v>
      </c>
      <c r="C19" s="339">
        <f>IF(Select2=1,Food!$J23,"")</f>
        <v>17.762889971783117</v>
      </c>
      <c r="D19" s="340">
        <f>IF(Select2=1,Garden!$J23,"")</f>
        <v>0</v>
      </c>
      <c r="E19" s="340">
        <f>IF(Select2=1,Paper!$J23,"")</f>
        <v>13.999192407483394</v>
      </c>
      <c r="F19" s="340">
        <f>IF(Select2=1,Wood!$J23,"")</f>
        <v>2.7438642951018464</v>
      </c>
      <c r="G19" s="340">
        <f>IF(Select2=1,Textiles!$J23,"")</f>
        <v>1.8109047059221641</v>
      </c>
      <c r="H19" s="341">
        <f>IF(Select2=1,Nappies!$J23,"")</f>
        <v>0</v>
      </c>
      <c r="I19" s="342">
        <f>Sludge!$J23</f>
        <v>0</v>
      </c>
      <c r="J19" s="342" t="str">
        <f>IF(Select2=2,MSW!$J23,"")</f>
        <v/>
      </c>
      <c r="K19" s="342">
        <f>Industry!$J23</f>
        <v>0</v>
      </c>
      <c r="L19" s="343">
        <f t="shared" si="1"/>
        <v>36.316851380290515</v>
      </c>
      <c r="M19" s="344">
        <f>Recovery_OX!C16</f>
        <v>0</v>
      </c>
      <c r="N19" s="291"/>
      <c r="O19" s="345">
        <f>(L19-M19)*(1-Recovery_OX!F16)</f>
        <v>32.685166242261467</v>
      </c>
    </row>
    <row r="20" spans="2:15" x14ac:dyDescent="0.25">
      <c r="B20" s="338">
        <f t="shared" si="0"/>
        <v>1955</v>
      </c>
      <c r="C20" s="339">
        <f>IF(Select2=1,Food!$J24,"")</f>
        <v>20.500346677002089</v>
      </c>
      <c r="D20" s="340">
        <f>IF(Select2=1,Garden!$J24,"")</f>
        <v>0</v>
      </c>
      <c r="E20" s="340">
        <f>IF(Select2=1,Paper!$J24,"")</f>
        <v>17.004729930191374</v>
      </c>
      <c r="F20" s="340">
        <f>IF(Select2=1,Wood!$J24,"")</f>
        <v>3.379907022843617</v>
      </c>
      <c r="G20" s="340">
        <f>IF(Select2=1,Textiles!$J24,"")</f>
        <v>2.1996944221623709</v>
      </c>
      <c r="H20" s="341">
        <f>IF(Select2=1,Nappies!$J24,"")</f>
        <v>0</v>
      </c>
      <c r="I20" s="342">
        <f>Sludge!$J24</f>
        <v>0</v>
      </c>
      <c r="J20" s="342" t="str">
        <f>IF(Select2=2,MSW!$J24,"")</f>
        <v/>
      </c>
      <c r="K20" s="342">
        <f>Industry!$J24</f>
        <v>0</v>
      </c>
      <c r="L20" s="343">
        <f t="shared" si="1"/>
        <v>43.08467805219945</v>
      </c>
      <c r="M20" s="344">
        <f>Recovery_OX!C17</f>
        <v>0</v>
      </c>
      <c r="N20" s="291"/>
      <c r="O20" s="345">
        <f>(L20-M20)*(1-Recovery_OX!F17)</f>
        <v>38.77621024697951</v>
      </c>
    </row>
    <row r="21" spans="2:15" x14ac:dyDescent="0.25">
      <c r="B21" s="338">
        <f t="shared" si="0"/>
        <v>1956</v>
      </c>
      <c r="C21" s="339">
        <f>IF(Select2=1,Food!$J25,"")</f>
        <v>22.775458671569304</v>
      </c>
      <c r="D21" s="340">
        <f>IF(Select2=1,Garden!$J25,"")</f>
        <v>0</v>
      </c>
      <c r="E21" s="340">
        <f>IF(Select2=1,Paper!$J25,"")</f>
        <v>19.835238573434417</v>
      </c>
      <c r="F21" s="340">
        <f>IF(Select2=1,Wood!$J25,"")</f>
        <v>3.9971518471266276</v>
      </c>
      <c r="G21" s="340">
        <f>IF(Select2=1,Textiles!$J25,"")</f>
        <v>2.5658427879396823</v>
      </c>
      <c r="H21" s="341">
        <f>IF(Select2=1,Nappies!$J25,"")</f>
        <v>0</v>
      </c>
      <c r="I21" s="342">
        <f>Sludge!$J25</f>
        <v>0</v>
      </c>
      <c r="J21" s="342" t="str">
        <f>IF(Select2=2,MSW!$J25,"")</f>
        <v/>
      </c>
      <c r="K21" s="342">
        <f>Industry!$J25</f>
        <v>0</v>
      </c>
      <c r="L21" s="343">
        <f t="shared" si="1"/>
        <v>49.173691880070031</v>
      </c>
      <c r="M21" s="344">
        <f>Recovery_OX!C18</f>
        <v>0</v>
      </c>
      <c r="N21" s="291"/>
      <c r="O21" s="345">
        <f>(L21-M21)*(1-Recovery_OX!F18)</f>
        <v>44.25632269206303</v>
      </c>
    </row>
    <row r="22" spans="2:15" x14ac:dyDescent="0.25">
      <c r="B22" s="338">
        <f t="shared" si="0"/>
        <v>1957</v>
      </c>
      <c r="C22" s="339">
        <f>IF(Select2=1,Food!$J26,"")</f>
        <v>24.666313996497472</v>
      </c>
      <c r="D22" s="340">
        <f>IF(Select2=1,Garden!$J26,"")</f>
        <v>0</v>
      </c>
      <c r="E22" s="340">
        <f>IF(Select2=1,Paper!$J26,"")</f>
        <v>22.500911225644387</v>
      </c>
      <c r="F22" s="340">
        <f>IF(Select2=1,Wood!$J26,"")</f>
        <v>4.5961543299580088</v>
      </c>
      <c r="G22" s="340">
        <f>IF(Select2=1,Textiles!$J26,"")</f>
        <v>2.9106683328585867</v>
      </c>
      <c r="H22" s="341">
        <f>IF(Select2=1,Nappies!$J26,"")</f>
        <v>0</v>
      </c>
      <c r="I22" s="342">
        <f>Sludge!$J26</f>
        <v>0</v>
      </c>
      <c r="J22" s="342" t="str">
        <f>IF(Select2=2,MSW!$J26,"")</f>
        <v/>
      </c>
      <c r="K22" s="342">
        <f>Industry!$J26</f>
        <v>0</v>
      </c>
      <c r="L22" s="343">
        <f t="shared" si="1"/>
        <v>54.674047884958455</v>
      </c>
      <c r="M22" s="344">
        <f>Recovery_OX!C19</f>
        <v>0</v>
      </c>
      <c r="N22" s="291"/>
      <c r="O22" s="345">
        <f>(L22-M22)*(1-Recovery_OX!F19)</f>
        <v>49.206643096462614</v>
      </c>
    </row>
    <row r="23" spans="2:15" x14ac:dyDescent="0.25">
      <c r="B23" s="338">
        <f t="shared" si="0"/>
        <v>1958</v>
      </c>
      <c r="C23" s="339">
        <f>IF(Select2=1,Food!$J27,"")</f>
        <v>26.23781195718988</v>
      </c>
      <c r="D23" s="340">
        <f>IF(Select2=1,Garden!$J27,"")</f>
        <v>0</v>
      </c>
      <c r="E23" s="340">
        <f>IF(Select2=1,Paper!$J27,"")</f>
        <v>25.011347187641199</v>
      </c>
      <c r="F23" s="340">
        <f>IF(Select2=1,Wood!$J27,"")</f>
        <v>5.1774536140061906</v>
      </c>
      <c r="G23" s="340">
        <f>IF(Select2=1,Textiles!$J27,"")</f>
        <v>3.235412801337072</v>
      </c>
      <c r="H23" s="341">
        <f>IF(Select2=1,Nappies!$J27,"")</f>
        <v>0</v>
      </c>
      <c r="I23" s="342">
        <f>Sludge!$J27</f>
        <v>0</v>
      </c>
      <c r="J23" s="342" t="str">
        <f>IF(Select2=2,MSW!$J27,"")</f>
        <v/>
      </c>
      <c r="K23" s="342">
        <f>Industry!$J27</f>
        <v>0</v>
      </c>
      <c r="L23" s="343">
        <f t="shared" si="1"/>
        <v>59.662025560174342</v>
      </c>
      <c r="M23" s="344">
        <f>Recovery_OX!C20</f>
        <v>0</v>
      </c>
      <c r="N23" s="291"/>
      <c r="O23" s="345">
        <f>(L23-M23)*(1-Recovery_OX!F20)</f>
        <v>53.695823004156907</v>
      </c>
    </row>
    <row r="24" spans="2:15" x14ac:dyDescent="0.25">
      <c r="B24" s="338">
        <f t="shared" si="0"/>
        <v>1959</v>
      </c>
      <c r="C24" s="339">
        <f>IF(Select2=1,Food!$J28,"")</f>
        <v>27.543890644386213</v>
      </c>
      <c r="D24" s="340">
        <f>IF(Select2=1,Garden!$J28,"")</f>
        <v>0</v>
      </c>
      <c r="E24" s="340">
        <f>IF(Select2=1,Paper!$J28,"")</f>
        <v>27.375586740484245</v>
      </c>
      <c r="F24" s="340">
        <f>IF(Select2=1,Wood!$J28,"")</f>
        <v>5.7415729078656934</v>
      </c>
      <c r="G24" s="340">
        <f>IF(Select2=1,Textiles!$J28,"")</f>
        <v>3.5412456242277779</v>
      </c>
      <c r="H24" s="341">
        <f>IF(Select2=1,Nappies!$J28,"")</f>
        <v>0</v>
      </c>
      <c r="I24" s="342">
        <f>Sludge!$J28</f>
        <v>0</v>
      </c>
      <c r="J24" s="342" t="str">
        <f>IF(Select2=2,MSW!$J28,"")</f>
        <v/>
      </c>
      <c r="K24" s="342">
        <f>Industry!$J28</f>
        <v>0</v>
      </c>
      <c r="L24" s="343">
        <f t="shared" si="1"/>
        <v>64.202295916963934</v>
      </c>
      <c r="M24" s="344">
        <f>Recovery_OX!C21</f>
        <v>0</v>
      </c>
      <c r="N24" s="291"/>
      <c r="O24" s="345">
        <f>(L24-M24)*(1-Recovery_OX!F21)</f>
        <v>57.782066325267543</v>
      </c>
    </row>
    <row r="25" spans="2:15" x14ac:dyDescent="0.25">
      <c r="B25" s="338">
        <f t="shared" si="0"/>
        <v>1960</v>
      </c>
      <c r="C25" s="339">
        <f>IF(Select2=1,Food!$J29,"")</f>
        <v>28.629378236363053</v>
      </c>
      <c r="D25" s="340">
        <f>IF(Select2=1,Garden!$J29,"")</f>
        <v>0</v>
      </c>
      <c r="E25" s="340">
        <f>IF(Select2=1,Paper!$J29,"")</f>
        <v>29.602143700248909</v>
      </c>
      <c r="F25" s="340">
        <f>IF(Select2=1,Wood!$J29,"")</f>
        <v>6.2890199569801872</v>
      </c>
      <c r="G25" s="340">
        <f>IF(Select2=1,Textiles!$J29,"")</f>
        <v>3.8292681300321978</v>
      </c>
      <c r="H25" s="341">
        <f>IF(Select2=1,Nappies!$J29,"")</f>
        <v>0</v>
      </c>
      <c r="I25" s="342">
        <f>Sludge!$J29</f>
        <v>0</v>
      </c>
      <c r="J25" s="342" t="str">
        <f>IF(Select2=2,MSW!$J29,"")</f>
        <v/>
      </c>
      <c r="K25" s="342">
        <f>Industry!$J29</f>
        <v>0</v>
      </c>
      <c r="L25" s="343">
        <f t="shared" si="1"/>
        <v>68.349810023624357</v>
      </c>
      <c r="M25" s="344">
        <f>Recovery_OX!C22</f>
        <v>0</v>
      </c>
      <c r="N25" s="291"/>
      <c r="O25" s="345">
        <f>(L25-M25)*(1-Recovery_OX!F22)</f>
        <v>61.514829021261924</v>
      </c>
    </row>
    <row r="26" spans="2:15" x14ac:dyDescent="0.25">
      <c r="B26" s="338">
        <f t="shared" si="0"/>
        <v>1961</v>
      </c>
      <c r="C26" s="339">
        <f>IF(Select2=1,Food!$J30,"")</f>
        <v>29.531531624123325</v>
      </c>
      <c r="D26" s="340">
        <f>IF(Select2=1,Garden!$J30,"")</f>
        <v>0</v>
      </c>
      <c r="E26" s="340">
        <f>IF(Select2=1,Paper!$J30,"")</f>
        <v>31.699036076960446</v>
      </c>
      <c r="F26" s="340">
        <f>IF(Select2=1,Wood!$J30,"")</f>
        <v>6.8202875006476589</v>
      </c>
      <c r="G26" s="340">
        <f>IF(Select2=1,Textiles!$J30,"")</f>
        <v>4.100517510872864</v>
      </c>
      <c r="H26" s="341">
        <f>IF(Select2=1,Nappies!$J30,"")</f>
        <v>0</v>
      </c>
      <c r="I26" s="342">
        <f>Sludge!$J30</f>
        <v>0</v>
      </c>
      <c r="J26" s="342" t="str">
        <f>IF(Select2=2,MSW!$J30,"")</f>
        <v/>
      </c>
      <c r="K26" s="342">
        <f>Industry!$J30</f>
        <v>0</v>
      </c>
      <c r="L26" s="343">
        <f t="shared" si="1"/>
        <v>72.151372712604285</v>
      </c>
      <c r="M26" s="344">
        <f>Recovery_OX!C23</f>
        <v>0</v>
      </c>
      <c r="N26" s="291"/>
      <c r="O26" s="345">
        <f>(L26-M26)*(1-Recovery_OX!F23)</f>
        <v>64.936235441343854</v>
      </c>
    </row>
    <row r="27" spans="2:15" x14ac:dyDescent="0.25">
      <c r="B27" s="338">
        <f t="shared" si="0"/>
        <v>1962</v>
      </c>
      <c r="C27" s="339">
        <f>IF(Select2=1,Food!$J31,"")</f>
        <v>30.281315169382598</v>
      </c>
      <c r="D27" s="340">
        <f>IF(Select2=1,Garden!$J31,"")</f>
        <v>0</v>
      </c>
      <c r="E27" s="340">
        <f>IF(Select2=1,Paper!$J31,"")</f>
        <v>33.673814948090552</v>
      </c>
      <c r="F27" s="340">
        <f>IF(Select2=1,Wood!$J31,"")</f>
        <v>7.3358537155190415</v>
      </c>
      <c r="G27" s="340">
        <f>IF(Select2=1,Textiles!$J31,"")</f>
        <v>4.3559705575052901</v>
      </c>
      <c r="H27" s="341">
        <f>IF(Select2=1,Nappies!$J31,"")</f>
        <v>0</v>
      </c>
      <c r="I27" s="342">
        <f>Sludge!$J31</f>
        <v>0</v>
      </c>
      <c r="J27" s="342" t="str">
        <f>IF(Select2=2,MSW!$J31,"")</f>
        <v/>
      </c>
      <c r="K27" s="342">
        <f>Industry!$J31</f>
        <v>0</v>
      </c>
      <c r="L27" s="343">
        <f t="shared" si="1"/>
        <v>75.64695439049747</v>
      </c>
      <c r="M27" s="344">
        <f>Recovery_OX!C24</f>
        <v>0</v>
      </c>
      <c r="N27" s="291"/>
      <c r="O27" s="345">
        <f>(L27-M27)*(1-Recovery_OX!F24)</f>
        <v>68.082258951447727</v>
      </c>
    </row>
    <row r="28" spans="2:15" x14ac:dyDescent="0.25">
      <c r="B28" s="338">
        <f t="shared" si="0"/>
        <v>1963</v>
      </c>
      <c r="C28" s="339">
        <f>IF(Select2=1,Food!$J32,"")</f>
        <v>30.904463485809416</v>
      </c>
      <c r="D28" s="340">
        <f>IF(Select2=1,Garden!$J32,"")</f>
        <v>0</v>
      </c>
      <c r="E28" s="340">
        <f>IF(Select2=1,Paper!$J32,"")</f>
        <v>35.533591650592427</v>
      </c>
      <c r="F28" s="340">
        <f>IF(Select2=1,Wood!$J32,"")</f>
        <v>7.8361826459894885</v>
      </c>
      <c r="G28" s="340">
        <f>IF(Select2=1,Textiles!$J32,"")</f>
        <v>4.5965471768197519</v>
      </c>
      <c r="H28" s="341">
        <f>IF(Select2=1,Nappies!$J32,"")</f>
        <v>0</v>
      </c>
      <c r="I28" s="342">
        <f>Sludge!$J32</f>
        <v>0</v>
      </c>
      <c r="J28" s="342" t="str">
        <f>IF(Select2=2,MSW!$J32,"")</f>
        <v/>
      </c>
      <c r="K28" s="342">
        <f>Industry!$J32</f>
        <v>0</v>
      </c>
      <c r="L28" s="343">
        <f t="shared" si="1"/>
        <v>78.870784959211093</v>
      </c>
      <c r="M28" s="344">
        <f>Recovery_OX!C25</f>
        <v>0</v>
      </c>
      <c r="N28" s="291"/>
      <c r="O28" s="345">
        <f>(L28-M28)*(1-Recovery_OX!F25)</f>
        <v>70.983706463289991</v>
      </c>
    </row>
    <row r="29" spans="2:15" x14ac:dyDescent="0.25">
      <c r="B29" s="338">
        <f t="shared" si="0"/>
        <v>1964</v>
      </c>
      <c r="C29" s="339">
        <f>IF(Select2=1,Food!$J33,"")</f>
        <v>31.422364721066977</v>
      </c>
      <c r="D29" s="340">
        <f>IF(Select2=1,Garden!$J33,"")</f>
        <v>0</v>
      </c>
      <c r="E29" s="340">
        <f>IF(Select2=1,Paper!$J33,"")</f>
        <v>37.285063389394949</v>
      </c>
      <c r="F29" s="340">
        <f>IF(Select2=1,Wood!$J33,"")</f>
        <v>8.3217246218696346</v>
      </c>
      <c r="G29" s="340">
        <f>IF(Select2=1,Textiles!$J33,"")</f>
        <v>4.8231137044997112</v>
      </c>
      <c r="H29" s="341">
        <f>IF(Select2=1,Nappies!$J33,"")</f>
        <v>0</v>
      </c>
      <c r="I29" s="342">
        <f>Sludge!$J33</f>
        <v>0</v>
      </c>
      <c r="J29" s="342" t="str">
        <f>IF(Select2=2,MSW!$J33,"")</f>
        <v/>
      </c>
      <c r="K29" s="342">
        <f>Industry!$J33</f>
        <v>0</v>
      </c>
      <c r="L29" s="343">
        <f t="shared" si="1"/>
        <v>81.852266436831286</v>
      </c>
      <c r="M29" s="344">
        <f>Recovery_OX!C26</f>
        <v>0</v>
      </c>
      <c r="N29" s="291"/>
      <c r="O29" s="345">
        <f>(L29-M29)*(1-Recovery_OX!F26)</f>
        <v>73.667039793148163</v>
      </c>
    </row>
    <row r="30" spans="2:15" x14ac:dyDescent="0.25">
      <c r="B30" s="338">
        <f t="shared" si="0"/>
        <v>1965</v>
      </c>
      <c r="C30" s="339">
        <f>IF(Select2=1,Food!$J34,"")</f>
        <v>31.852794656301846</v>
      </c>
      <c r="D30" s="340">
        <f>IF(Select2=1,Garden!$J34,"")</f>
        <v>0</v>
      </c>
      <c r="E30" s="340">
        <f>IF(Select2=1,Paper!$J34,"")</f>
        <v>38.934537354574303</v>
      </c>
      <c r="F30" s="340">
        <f>IF(Select2=1,Wood!$J34,"")</f>
        <v>8.7929166637128375</v>
      </c>
      <c r="G30" s="340">
        <f>IF(Select2=1,Textiles!$J34,"")</f>
        <v>5.0364860247660319</v>
      </c>
      <c r="H30" s="341">
        <f>IF(Select2=1,Nappies!$J34,"")</f>
        <v>0</v>
      </c>
      <c r="I30" s="342">
        <f>Sludge!$J34</f>
        <v>0</v>
      </c>
      <c r="J30" s="342" t="str">
        <f>IF(Select2=2,MSW!$J34,"")</f>
        <v/>
      </c>
      <c r="K30" s="342">
        <f>Industry!$J34</f>
        <v>0</v>
      </c>
      <c r="L30" s="343">
        <f t="shared" si="1"/>
        <v>84.616734699355035</v>
      </c>
      <c r="M30" s="344">
        <f>Recovery_OX!C27</f>
        <v>0</v>
      </c>
      <c r="N30" s="291"/>
      <c r="O30" s="345">
        <f>(L30-M30)*(1-Recovery_OX!F27)</f>
        <v>76.15506122941953</v>
      </c>
    </row>
    <row r="31" spans="2:15" x14ac:dyDescent="0.25">
      <c r="B31" s="338">
        <f t="shared" si="0"/>
        <v>1966</v>
      </c>
      <c r="C31" s="339">
        <f>IF(Select2=1,Food!$J35,"")</f>
        <v>32.21052681937374</v>
      </c>
      <c r="D31" s="340">
        <f>IF(Select2=1,Garden!$J35,"")</f>
        <v>0</v>
      </c>
      <c r="E31" s="340">
        <f>IF(Select2=1,Paper!$J35,"")</f>
        <v>40.487953434050802</v>
      </c>
      <c r="F31" s="340">
        <f>IF(Select2=1,Wood!$J35,"")</f>
        <v>9.2501828761631781</v>
      </c>
      <c r="G31" s="340">
        <f>IF(Select2=1,Textiles!$J35,"")</f>
        <v>5.237432508441433</v>
      </c>
      <c r="H31" s="341">
        <f>IF(Select2=1,Nappies!$J35,"")</f>
        <v>0</v>
      </c>
      <c r="I31" s="342">
        <f>Sludge!$J35</f>
        <v>0</v>
      </c>
      <c r="J31" s="342" t="str">
        <f>IF(Select2=2,MSW!$J35,"")</f>
        <v/>
      </c>
      <c r="K31" s="342">
        <f>Industry!$J35</f>
        <v>0</v>
      </c>
      <c r="L31" s="343">
        <f t="shared" si="1"/>
        <v>87.186095638029158</v>
      </c>
      <c r="M31" s="344">
        <f>Recovery_OX!C28</f>
        <v>0</v>
      </c>
      <c r="N31" s="291"/>
      <c r="O31" s="345">
        <f>(L31-M31)*(1-Recovery_OX!F28)</f>
        <v>78.467486074226244</v>
      </c>
    </row>
    <row r="32" spans="2:15" x14ac:dyDescent="0.25">
      <c r="B32" s="338">
        <f t="shared" si="0"/>
        <v>1967</v>
      </c>
      <c r="C32" s="339">
        <f>IF(Select2=1,Food!$J36,"")</f>
        <v>32.507839552574481</v>
      </c>
      <c r="D32" s="340">
        <f>IF(Select2=1,Garden!$J36,"")</f>
        <v>0</v>
      </c>
      <c r="E32" s="340">
        <f>IF(Select2=1,Paper!$J36,"")</f>
        <v>41.95090560360125</v>
      </c>
      <c r="F32" s="340">
        <f>IF(Select2=1,Wood!$J36,"")</f>
        <v>9.6939348296782537</v>
      </c>
      <c r="G32" s="340">
        <f>IF(Select2=1,Textiles!$J36,"")</f>
        <v>5.4266767799153905</v>
      </c>
      <c r="H32" s="341">
        <f>IF(Select2=1,Nappies!$J36,"")</f>
        <v>0</v>
      </c>
      <c r="I32" s="342">
        <f>Sludge!$J36</f>
        <v>0</v>
      </c>
      <c r="J32" s="342" t="str">
        <f>IF(Select2=2,MSW!$J36,"")</f>
        <v/>
      </c>
      <c r="K32" s="342">
        <f>Industry!$J36</f>
        <v>0</v>
      </c>
      <c r="L32" s="343">
        <f t="shared" si="1"/>
        <v>89.579356765769376</v>
      </c>
      <c r="M32" s="344">
        <f>Recovery_OX!C29</f>
        <v>0</v>
      </c>
      <c r="N32" s="291"/>
      <c r="O32" s="345">
        <f>(L32-M32)*(1-Recovery_OX!F29)</f>
        <v>80.621421089192438</v>
      </c>
    </row>
    <row r="33" spans="2:15" x14ac:dyDescent="0.25">
      <c r="B33" s="338">
        <f t="shared" si="0"/>
        <v>1968</v>
      </c>
      <c r="C33" s="339">
        <f>IF(Select2=1,Food!$J37,"")</f>
        <v>32.754937438781397</v>
      </c>
      <c r="D33" s="340">
        <f>IF(Select2=1,Garden!$J37,"")</f>
        <v>0</v>
      </c>
      <c r="E33" s="340">
        <f>IF(Select2=1,Paper!$J37,"")</f>
        <v>43.328662071213998</v>
      </c>
      <c r="F33" s="340">
        <f>IF(Select2=1,Wood!$J37,"")</f>
        <v>10.124571930970383</v>
      </c>
      <c r="G33" s="340">
        <f>IF(Select2=1,Textiles!$J37,"")</f>
        <v>5.6049003229735535</v>
      </c>
      <c r="H33" s="341">
        <f>IF(Select2=1,Nappies!$J37,"")</f>
        <v>0</v>
      </c>
      <c r="I33" s="342">
        <f>Sludge!$J37</f>
        <v>0</v>
      </c>
      <c r="J33" s="342" t="str">
        <f>IF(Select2=2,MSW!$J37,"")</f>
        <v/>
      </c>
      <c r="K33" s="342">
        <f>Industry!$J37</f>
        <v>0</v>
      </c>
      <c r="L33" s="343">
        <f t="shared" si="1"/>
        <v>91.81307176393932</v>
      </c>
      <c r="M33" s="344">
        <f>Recovery_OX!C30</f>
        <v>0</v>
      </c>
      <c r="N33" s="291"/>
      <c r="O33" s="345">
        <f>(L33-M33)*(1-Recovery_OX!F30)</f>
        <v>82.631764587545391</v>
      </c>
    </row>
    <row r="34" spans="2:15" x14ac:dyDescent="0.25">
      <c r="B34" s="338">
        <f t="shared" si="0"/>
        <v>1969</v>
      </c>
      <c r="C34" s="339">
        <f>IF(Select2=1,Food!$J38,"")</f>
        <v>32.960301550538766</v>
      </c>
      <c r="D34" s="340">
        <f>IF(Select2=1,Garden!$J38,"")</f>
        <v>0</v>
      </c>
      <c r="E34" s="340">
        <f>IF(Select2=1,Paper!$J38,"")</f>
        <v>44.626184248328002</v>
      </c>
      <c r="F34" s="340">
        <f>IF(Select2=1,Wood!$J38,"")</f>
        <v>10.54248178249961</v>
      </c>
      <c r="G34" s="340">
        <f>IF(Select2=1,Textiles!$J38,"")</f>
        <v>5.7727449348754583</v>
      </c>
      <c r="H34" s="341">
        <f>IF(Select2=1,Nappies!$J38,"")</f>
        <v>0</v>
      </c>
      <c r="I34" s="342">
        <f>Sludge!$J38</f>
        <v>0</v>
      </c>
      <c r="J34" s="342" t="str">
        <f>IF(Select2=2,MSW!$J38,"")</f>
        <v/>
      </c>
      <c r="K34" s="342">
        <f>Industry!$J38</f>
        <v>0</v>
      </c>
      <c r="L34" s="343">
        <f t="shared" si="1"/>
        <v>93.90171251624183</v>
      </c>
      <c r="M34" s="344">
        <f>Recovery_OX!C31</f>
        <v>0</v>
      </c>
      <c r="N34" s="291"/>
      <c r="O34" s="345">
        <f>(L34-M34)*(1-Recovery_OX!F31)</f>
        <v>84.511541264617648</v>
      </c>
    </row>
    <row r="35" spans="2:15" x14ac:dyDescent="0.25">
      <c r="B35" s="338">
        <f t="shared" si="0"/>
        <v>1970</v>
      </c>
      <c r="C35" s="339">
        <f>IF(Select2=1,Food!$J39,"")</f>
        <v>33.130980543569805</v>
      </c>
      <c r="D35" s="340">
        <f>IF(Select2=1,Garden!$J39,"")</f>
        <v>0</v>
      </c>
      <c r="E35" s="340">
        <f>IF(Select2=1,Paper!$J39,"")</f>
        <v>45.84814461627299</v>
      </c>
      <c r="F35" s="340">
        <f>IF(Select2=1,Wood!$J39,"")</f>
        <v>10.948040531342066</v>
      </c>
      <c r="G35" s="340">
        <f>IF(Select2=1,Textiles!$J39,"")</f>
        <v>5.9308150375178821</v>
      </c>
      <c r="H35" s="341">
        <f>IF(Select2=1,Nappies!$J39,"")</f>
        <v>0</v>
      </c>
      <c r="I35" s="342">
        <f>Sludge!$J39</f>
        <v>0</v>
      </c>
      <c r="J35" s="342" t="str">
        <f>IF(Select2=2,MSW!$J39,"")</f>
        <v/>
      </c>
      <c r="K35" s="342">
        <f>Industry!$J39</f>
        <v>0</v>
      </c>
      <c r="L35" s="343">
        <f t="shared" si="1"/>
        <v>95.857980728702742</v>
      </c>
      <c r="M35" s="344">
        <f>Recovery_OX!C32</f>
        <v>0</v>
      </c>
      <c r="N35" s="291"/>
      <c r="O35" s="345">
        <f>(L35-M35)*(1-Recovery_OX!F32)</f>
        <v>86.272182655832466</v>
      </c>
    </row>
    <row r="36" spans="2:15" x14ac:dyDescent="0.25">
      <c r="B36" s="338">
        <f t="shared" si="0"/>
        <v>1971</v>
      </c>
      <c r="C36" s="339">
        <f>IF(Select2=1,Food!$J40,"")</f>
        <v>35.185343495127867</v>
      </c>
      <c r="D36" s="340">
        <f>IF(Select2=1,Garden!$J40,"")</f>
        <v>0</v>
      </c>
      <c r="E36" s="340">
        <f>IF(Select2=1,Paper!$J40,"")</f>
        <v>48.272539226249684</v>
      </c>
      <c r="F36" s="340">
        <f>IF(Select2=1,Wood!$J40,"")</f>
        <v>11.58065859874735</v>
      </c>
      <c r="G36" s="340">
        <f>IF(Select2=1,Textiles!$J40,"")</f>
        <v>6.2444293861478943</v>
      </c>
      <c r="H36" s="341">
        <f>IF(Select2=1,Nappies!$J40,"")</f>
        <v>0</v>
      </c>
      <c r="I36" s="342">
        <f>Sludge!$J40</f>
        <v>0</v>
      </c>
      <c r="J36" s="342" t="str">
        <f>IF(Select2=2,MSW!$J40,"")</f>
        <v/>
      </c>
      <c r="K36" s="342">
        <f>Industry!$J40</f>
        <v>0</v>
      </c>
      <c r="L36" s="343">
        <f t="shared" si="1"/>
        <v>101.28297070627281</v>
      </c>
      <c r="M36" s="344">
        <f>Recovery_OX!C33</f>
        <v>0</v>
      </c>
      <c r="N36" s="291"/>
      <c r="O36" s="345">
        <f>(L36-M36)*(1-Recovery_OX!F33)</f>
        <v>91.154673635645523</v>
      </c>
    </row>
    <row r="37" spans="2:15" x14ac:dyDescent="0.25">
      <c r="B37" s="338">
        <f t="shared" si="0"/>
        <v>1972</v>
      </c>
      <c r="C37" s="339">
        <f>IF(Select2=1,Food!$J41,"")</f>
        <v>36.892733344754866</v>
      </c>
      <c r="D37" s="340">
        <f>IF(Select2=1,Garden!$J41,"")</f>
        <v>0</v>
      </c>
      <c r="E37" s="340">
        <f>IF(Select2=1,Paper!$J41,"")</f>
        <v>50.55574808533855</v>
      </c>
      <c r="F37" s="340">
        <f>IF(Select2=1,Wood!$J41,"")</f>
        <v>12.194579976702897</v>
      </c>
      <c r="G37" s="340">
        <f>IF(Select2=1,Textiles!$J41,"")</f>
        <v>6.5397802569107668</v>
      </c>
      <c r="H37" s="341">
        <f>IF(Select2=1,Nappies!$J41,"")</f>
        <v>0</v>
      </c>
      <c r="I37" s="342">
        <f>Sludge!$J41</f>
        <v>0</v>
      </c>
      <c r="J37" s="342" t="str">
        <f>IF(Select2=2,MSW!$J41,"")</f>
        <v/>
      </c>
      <c r="K37" s="342">
        <f>Industry!$J41</f>
        <v>0</v>
      </c>
      <c r="L37" s="343">
        <f t="shared" si="1"/>
        <v>106.18284166370708</v>
      </c>
      <c r="M37" s="344">
        <f>Recovery_OX!C34</f>
        <v>0</v>
      </c>
      <c r="N37" s="291"/>
      <c r="O37" s="345">
        <f>(L37-M37)*(1-Recovery_OX!F34)</f>
        <v>95.564557497336381</v>
      </c>
    </row>
    <row r="38" spans="2:15" x14ac:dyDescent="0.25">
      <c r="B38" s="338">
        <f t="shared" si="0"/>
        <v>1973</v>
      </c>
      <c r="C38" s="339">
        <f>IF(Select2=1,Food!$J42,"")</f>
        <v>38.311752362985501</v>
      </c>
      <c r="D38" s="340">
        <f>IF(Select2=1,Garden!$J42,"")</f>
        <v>0</v>
      </c>
      <c r="E38" s="340">
        <f>IF(Select2=1,Paper!$J42,"")</f>
        <v>52.705993211593807</v>
      </c>
      <c r="F38" s="340">
        <f>IF(Select2=1,Wood!$J42,"")</f>
        <v>12.790357235889804</v>
      </c>
      <c r="G38" s="340">
        <f>IF(Select2=1,Textiles!$J42,"")</f>
        <v>6.8179312319584628</v>
      </c>
      <c r="H38" s="341">
        <f>IF(Select2=1,Nappies!$J42,"")</f>
        <v>0</v>
      </c>
      <c r="I38" s="342">
        <f>Sludge!$J42</f>
        <v>0</v>
      </c>
      <c r="J38" s="342" t="str">
        <f>IF(Select2=2,MSW!$J42,"")</f>
        <v/>
      </c>
      <c r="K38" s="342">
        <f>Industry!$J42</f>
        <v>0</v>
      </c>
      <c r="L38" s="343">
        <f t="shared" si="1"/>
        <v>110.62603404242758</v>
      </c>
      <c r="M38" s="344">
        <f>Recovery_OX!C35</f>
        <v>0</v>
      </c>
      <c r="N38" s="291"/>
      <c r="O38" s="345">
        <f>(L38-M38)*(1-Recovery_OX!F35)</f>
        <v>99.563430638184826</v>
      </c>
    </row>
    <row r="39" spans="2:15" x14ac:dyDescent="0.25">
      <c r="B39" s="338">
        <f t="shared" si="0"/>
        <v>1974</v>
      </c>
      <c r="C39" s="339">
        <f>IF(Select2=1,Food!$J43,"")</f>
        <v>39.491105147904619</v>
      </c>
      <c r="D39" s="340">
        <f>IF(Select2=1,Garden!$J43,"")</f>
        <v>0</v>
      </c>
      <c r="E39" s="340">
        <f>IF(Select2=1,Paper!$J43,"")</f>
        <v>54.731017810013384</v>
      </c>
      <c r="F39" s="340">
        <f>IF(Select2=1,Wood!$J43,"")</f>
        <v>13.36852661605751</v>
      </c>
      <c r="G39" s="340">
        <f>IF(Select2=1,Textiles!$J43,"")</f>
        <v>7.0798839552402608</v>
      </c>
      <c r="H39" s="341">
        <f>IF(Select2=1,Nappies!$J43,"")</f>
        <v>0</v>
      </c>
      <c r="I39" s="342">
        <f>Sludge!$J43</f>
        <v>0</v>
      </c>
      <c r="J39" s="342" t="str">
        <f>IF(Select2=2,MSW!$J43,"")</f>
        <v/>
      </c>
      <c r="K39" s="342">
        <f>Industry!$J43</f>
        <v>0</v>
      </c>
      <c r="L39" s="343">
        <f t="shared" si="1"/>
        <v>114.67053352921577</v>
      </c>
      <c r="M39" s="344">
        <f>Recovery_OX!C36</f>
        <v>0</v>
      </c>
      <c r="N39" s="291"/>
      <c r="O39" s="345">
        <f>(L39-M39)*(1-Recovery_OX!F36)</f>
        <v>103.20348017629419</v>
      </c>
    </row>
    <row r="40" spans="2:15" x14ac:dyDescent="0.25">
      <c r="B40" s="338">
        <f t="shared" si="0"/>
        <v>1975</v>
      </c>
      <c r="C40" s="339">
        <f>IF(Select2=1,Food!$J44,"")</f>
        <v>40.471270299623832</v>
      </c>
      <c r="D40" s="340">
        <f>IF(Select2=1,Garden!$J44,"")</f>
        <v>0</v>
      </c>
      <c r="E40" s="340">
        <f>IF(Select2=1,Paper!$J44,"")</f>
        <v>56.638114156440622</v>
      </c>
      <c r="F40" s="340">
        <f>IF(Select2=1,Wood!$J44,"")</f>
        <v>13.92960850867577</v>
      </c>
      <c r="G40" s="340">
        <f>IF(Select2=1,Textiles!$J44,"")</f>
        <v>7.3265817395028678</v>
      </c>
      <c r="H40" s="341">
        <f>IF(Select2=1,Nappies!$J44,"")</f>
        <v>0</v>
      </c>
      <c r="I40" s="342">
        <f>Sludge!$J44</f>
        <v>0</v>
      </c>
      <c r="J40" s="342" t="str">
        <f>IF(Select2=2,MSW!$J44,"")</f>
        <v/>
      </c>
      <c r="K40" s="342">
        <f>Industry!$J44</f>
        <v>0</v>
      </c>
      <c r="L40" s="343">
        <f t="shared" si="1"/>
        <v>118.36557470424309</v>
      </c>
      <c r="M40" s="344">
        <f>Recovery_OX!C37</f>
        <v>0</v>
      </c>
      <c r="N40" s="291"/>
      <c r="O40" s="345">
        <f>(L40-M40)*(1-Recovery_OX!F37)</f>
        <v>106.52901723381878</v>
      </c>
    </row>
    <row r="41" spans="2:15" x14ac:dyDescent="0.25">
      <c r="B41" s="338">
        <f t="shared" si="0"/>
        <v>1976</v>
      </c>
      <c r="C41" s="339">
        <f>IF(Select2=1,Food!$J45,"")</f>
        <v>41.285889756100246</v>
      </c>
      <c r="D41" s="340">
        <f>IF(Select2=1,Garden!$J45,"")</f>
        <v>0</v>
      </c>
      <c r="E41" s="340">
        <f>IF(Select2=1,Paper!$J45,"")</f>
        <v>58.434149857633912</v>
      </c>
      <c r="F41" s="340">
        <f>IF(Select2=1,Wood!$J45,"")</f>
        <v>14.474107925322103</v>
      </c>
      <c r="G41" s="340">
        <f>IF(Select2=1,Textiles!$J45,"")</f>
        <v>7.5589129632352083</v>
      </c>
      <c r="H41" s="341">
        <f>IF(Select2=1,Nappies!$J45,"")</f>
        <v>0</v>
      </c>
      <c r="I41" s="342">
        <f>Sludge!$J45</f>
        <v>0</v>
      </c>
      <c r="J41" s="342" t="str">
        <f>IF(Select2=2,MSW!$J45,"")</f>
        <v/>
      </c>
      <c r="K41" s="342">
        <f>Industry!$J45</f>
        <v>0</v>
      </c>
      <c r="L41" s="343">
        <f t="shared" si="1"/>
        <v>121.75306050229148</v>
      </c>
      <c r="M41" s="344">
        <f>Recovery_OX!C38</f>
        <v>0</v>
      </c>
      <c r="N41" s="291"/>
      <c r="O41" s="345">
        <f>(L41-M41)*(1-Recovery_OX!F38)</f>
        <v>109.57775445206234</v>
      </c>
    </row>
    <row r="42" spans="2:15" x14ac:dyDescent="0.25">
      <c r="B42" s="338">
        <f t="shared" si="0"/>
        <v>1977</v>
      </c>
      <c r="C42" s="339">
        <f>IF(Select2=1,Food!$J46,"")</f>
        <v>41.96292347608707</v>
      </c>
      <c r="D42" s="340">
        <f>IF(Select2=1,Garden!$J46,"")</f>
        <v>0</v>
      </c>
      <c r="E42" s="340">
        <f>IF(Select2=1,Paper!$J46,"")</f>
        <v>60.125592582068862</v>
      </c>
      <c r="F42" s="340">
        <f>IF(Select2=1,Wood!$J46,"")</f>
        <v>15.002514952226303</v>
      </c>
      <c r="G42" s="340">
        <f>IF(Select2=1,Textiles!$J46,"")</f>
        <v>7.7777142697905548</v>
      </c>
      <c r="H42" s="341">
        <f>IF(Select2=1,Nappies!$J46,"")</f>
        <v>0</v>
      </c>
      <c r="I42" s="342">
        <f>Sludge!$J46</f>
        <v>0</v>
      </c>
      <c r="J42" s="342" t="str">
        <f>IF(Select2=2,MSW!$J46,"")</f>
        <v/>
      </c>
      <c r="K42" s="342">
        <f>Industry!$J46</f>
        <v>0</v>
      </c>
      <c r="L42" s="343">
        <f t="shared" si="1"/>
        <v>124.86874528017279</v>
      </c>
      <c r="M42" s="344">
        <f>Recovery_OX!C39</f>
        <v>0</v>
      </c>
      <c r="N42" s="291"/>
      <c r="O42" s="345">
        <f>(L42-M42)*(1-Recovery_OX!F39)</f>
        <v>112.38187075215551</v>
      </c>
    </row>
    <row r="43" spans="2:15" x14ac:dyDescent="0.25">
      <c r="B43" s="338">
        <f t="shared" si="0"/>
        <v>1978</v>
      </c>
      <c r="C43" s="339">
        <f>IF(Select2=1,Food!$J47,"")</f>
        <v>42.525609101080462</v>
      </c>
      <c r="D43" s="340">
        <f>IF(Select2=1,Garden!$J47,"")</f>
        <v>0</v>
      </c>
      <c r="E43" s="340">
        <f>IF(Select2=1,Paper!$J47,"")</f>
        <v>61.718533350530805</v>
      </c>
      <c r="F43" s="340">
        <f>IF(Select2=1,Wood!$J47,"")</f>
        <v>15.515305191381135</v>
      </c>
      <c r="G43" s="340">
        <f>IF(Select2=1,Textiles!$J47,"")</f>
        <v>7.9837735802062753</v>
      </c>
      <c r="H43" s="341">
        <f>IF(Select2=1,Nappies!$J47,"")</f>
        <v>0</v>
      </c>
      <c r="I43" s="342">
        <f>Sludge!$J47</f>
        <v>0</v>
      </c>
      <c r="J43" s="342" t="str">
        <f>IF(Select2=2,MSW!$J47,"")</f>
        <v/>
      </c>
      <c r="K43" s="342">
        <f>Industry!$J47</f>
        <v>0</v>
      </c>
      <c r="L43" s="343">
        <f t="shared" si="1"/>
        <v>127.74322122319867</v>
      </c>
      <c r="M43" s="344">
        <f>Recovery_OX!C40</f>
        <v>0</v>
      </c>
      <c r="N43" s="291"/>
      <c r="O43" s="345">
        <f>(L43-M43)*(1-Recovery_OX!F40)</f>
        <v>114.96889910087882</v>
      </c>
    </row>
    <row r="44" spans="2:15" x14ac:dyDescent="0.25">
      <c r="B44" s="338">
        <f t="shared" si="0"/>
        <v>1979</v>
      </c>
      <c r="C44" s="339">
        <f>IF(Select2=1,Food!$J48,"")</f>
        <v>42.99325953447449</v>
      </c>
      <c r="D44" s="340">
        <f>IF(Select2=1,Garden!$J48,"")</f>
        <v>0</v>
      </c>
      <c r="E44" s="340">
        <f>IF(Select2=1,Paper!$J48,"")</f>
        <v>63.218708470368718</v>
      </c>
      <c r="F44" s="340">
        <f>IF(Select2=1,Wood!$J48,"")</f>
        <v>16.012940188616209</v>
      </c>
      <c r="G44" s="340">
        <f>IF(Select2=1,Textiles!$J48,"")</f>
        <v>8.1778329305706272</v>
      </c>
      <c r="H44" s="341">
        <f>IF(Select2=1,Nappies!$J48,"")</f>
        <v>0</v>
      </c>
      <c r="I44" s="342">
        <f>Sludge!$J48</f>
        <v>0</v>
      </c>
      <c r="J44" s="342" t="str">
        <f>IF(Select2=2,MSW!$J48,"")</f>
        <v/>
      </c>
      <c r="K44" s="342">
        <f>Industry!$J48</f>
        <v>0</v>
      </c>
      <c r="L44" s="343">
        <f t="shared" si="1"/>
        <v>130.40274112403006</v>
      </c>
      <c r="M44" s="344">
        <f>Recovery_OX!C41</f>
        <v>0</v>
      </c>
      <c r="N44" s="291"/>
      <c r="O44" s="345">
        <f>(L44-M44)*(1-Recovery_OX!F41)</f>
        <v>117.36246701162706</v>
      </c>
    </row>
    <row r="45" spans="2:15" x14ac:dyDescent="0.25">
      <c r="B45" s="338">
        <f t="shared" si="0"/>
        <v>1980</v>
      </c>
      <c r="C45" s="339">
        <f>IF(Select2=1,Food!$J49,"")</f>
        <v>43.381925813013567</v>
      </c>
      <c r="D45" s="340">
        <f>IF(Select2=1,Garden!$J49,"")</f>
        <v>0</v>
      </c>
      <c r="E45" s="340">
        <f>IF(Select2=1,Paper!$J49,"")</f>
        <v>64.631520192397559</v>
      </c>
      <c r="F45" s="340">
        <f>IF(Select2=1,Wood!$J49,"")</f>
        <v>16.495867849020414</v>
      </c>
      <c r="G45" s="340">
        <f>IF(Select2=1,Textiles!$J49,"")</f>
        <v>8.3605911441541743</v>
      </c>
      <c r="H45" s="341">
        <f>IF(Select2=1,Nappies!$J49,"")</f>
        <v>0</v>
      </c>
      <c r="I45" s="342">
        <f>Sludge!$J49</f>
        <v>0</v>
      </c>
      <c r="J45" s="342" t="str">
        <f>IF(Select2=2,MSW!$J49,"")</f>
        <v/>
      </c>
      <c r="K45" s="342">
        <f>Industry!$J49</f>
        <v>0</v>
      </c>
      <c r="L45" s="343">
        <f t="shared" si="1"/>
        <v>132.86990499858572</v>
      </c>
      <c r="M45" s="344">
        <f>Recovery_OX!C42</f>
        <v>0</v>
      </c>
      <c r="N45" s="291"/>
      <c r="O45" s="345">
        <f>(L45-M45)*(1-Recovery_OX!F42)</f>
        <v>119.58291449872715</v>
      </c>
    </row>
    <row r="46" spans="2:15" x14ac:dyDescent="0.25">
      <c r="B46" s="338">
        <f t="shared" si="0"/>
        <v>1981</v>
      </c>
      <c r="C46" s="339">
        <f>IF(Select2=1,Food!$J50,"")</f>
        <v>44.661203476739452</v>
      </c>
      <c r="D46" s="340">
        <f>IF(Select2=1,Garden!$J50,"")</f>
        <v>0</v>
      </c>
      <c r="E46" s="340">
        <f>IF(Select2=1,Paper!$J50,"")</f>
        <v>66.598854001836671</v>
      </c>
      <c r="F46" s="340">
        <f>IF(Select2=1,Wood!$J50,"")</f>
        <v>17.084045535586505</v>
      </c>
      <c r="G46" s="340">
        <f>IF(Select2=1,Textiles!$J50,"")</f>
        <v>8.6150811139990502</v>
      </c>
      <c r="H46" s="341">
        <f>IF(Select2=1,Nappies!$J50,"")</f>
        <v>0</v>
      </c>
      <c r="I46" s="342">
        <f>Sludge!$J50</f>
        <v>0</v>
      </c>
      <c r="J46" s="342" t="str">
        <f>IF(Select2=2,MSW!$J50,"")</f>
        <v/>
      </c>
      <c r="K46" s="342">
        <f>Industry!$J50</f>
        <v>0</v>
      </c>
      <c r="L46" s="343">
        <f t="shared" si="1"/>
        <v>136.9591841281617</v>
      </c>
      <c r="M46" s="344">
        <f>Recovery_OX!C43</f>
        <v>0</v>
      </c>
      <c r="N46" s="291"/>
      <c r="O46" s="345">
        <f>(L46-M46)*(1-Recovery_OX!F43)</f>
        <v>123.26326571534553</v>
      </c>
    </row>
    <row r="47" spans="2:15" x14ac:dyDescent="0.25">
      <c r="B47" s="338">
        <f t="shared" si="0"/>
        <v>1982</v>
      </c>
      <c r="C47" s="339">
        <f>IF(Select2=1,Food!$J51,"")</f>
        <v>45.724416623298382</v>
      </c>
      <c r="D47" s="340">
        <f>IF(Select2=1,Garden!$J51,"")</f>
        <v>0</v>
      </c>
      <c r="E47" s="340">
        <f>IF(Select2=1,Paper!$J51,"")</f>
        <v>68.451619209287628</v>
      </c>
      <c r="F47" s="340">
        <f>IF(Select2=1,Wood!$J51,"")</f>
        <v>17.65483994444746</v>
      </c>
      <c r="G47" s="340">
        <f>IF(Select2=1,Textiles!$J51,"")</f>
        <v>8.8547507417518823</v>
      </c>
      <c r="H47" s="341">
        <f>IF(Select2=1,Nappies!$J51,"")</f>
        <v>0</v>
      </c>
      <c r="I47" s="342">
        <f>Sludge!$J51</f>
        <v>0</v>
      </c>
      <c r="J47" s="342" t="str">
        <f>IF(Select2=2,MSW!$J51,"")</f>
        <v/>
      </c>
      <c r="K47" s="342">
        <f>Industry!$J51</f>
        <v>0</v>
      </c>
      <c r="L47" s="343">
        <f t="shared" si="1"/>
        <v>140.68562651878534</v>
      </c>
      <c r="M47" s="344">
        <f>Recovery_OX!C44</f>
        <v>0</v>
      </c>
      <c r="N47" s="291"/>
      <c r="O47" s="345">
        <f>(L47-M47)*(1-Recovery_OX!F44)</f>
        <v>126.6170638669068</v>
      </c>
    </row>
    <row r="48" spans="2:15" x14ac:dyDescent="0.25">
      <c r="B48" s="338">
        <f t="shared" si="0"/>
        <v>1983</v>
      </c>
      <c r="C48" s="339">
        <f>IF(Select2=1,Food!$J52,"")</f>
        <v>46.608057624051412</v>
      </c>
      <c r="D48" s="340">
        <f>IF(Select2=1,Garden!$J52,"")</f>
        <v>0</v>
      </c>
      <c r="E48" s="340">
        <f>IF(Select2=1,Paper!$J52,"")</f>
        <v>70.196487770723792</v>
      </c>
      <c r="F48" s="340">
        <f>IF(Select2=1,Wood!$J52,"")</f>
        <v>18.208764829101035</v>
      </c>
      <c r="G48" s="340">
        <f>IF(Select2=1,Textiles!$J52,"")</f>
        <v>9.0804630969468345</v>
      </c>
      <c r="H48" s="341">
        <f>IF(Select2=1,Nappies!$J52,"")</f>
        <v>0</v>
      </c>
      <c r="I48" s="342">
        <f>Sludge!$J52</f>
        <v>0</v>
      </c>
      <c r="J48" s="342" t="str">
        <f>IF(Select2=2,MSW!$J52,"")</f>
        <v/>
      </c>
      <c r="K48" s="342">
        <f>Industry!$J52</f>
        <v>0</v>
      </c>
      <c r="L48" s="343">
        <f t="shared" si="1"/>
        <v>144.09377332082306</v>
      </c>
      <c r="M48" s="344">
        <f>Recovery_OX!C45</f>
        <v>0</v>
      </c>
      <c r="N48" s="291"/>
      <c r="O48" s="345">
        <f>(L48-M48)*(1-Recovery_OX!F45)</f>
        <v>129.68439598874076</v>
      </c>
    </row>
    <row r="49" spans="2:15" x14ac:dyDescent="0.25">
      <c r="B49" s="338">
        <f t="shared" si="0"/>
        <v>1984</v>
      </c>
      <c r="C49" s="339">
        <f>IF(Select2=1,Food!$J53,"")</f>
        <v>47.342455445164617</v>
      </c>
      <c r="D49" s="340">
        <f>IF(Select2=1,Garden!$J53,"")</f>
        <v>0</v>
      </c>
      <c r="E49" s="340">
        <f>IF(Select2=1,Paper!$J53,"")</f>
        <v>71.83974309765054</v>
      </c>
      <c r="F49" s="340">
        <f>IF(Select2=1,Wood!$J53,"")</f>
        <v>18.746318759334471</v>
      </c>
      <c r="G49" s="340">
        <f>IF(Select2=1,Textiles!$J53,"")</f>
        <v>9.293030987861215</v>
      </c>
      <c r="H49" s="341">
        <f>IF(Select2=1,Nappies!$J53,"")</f>
        <v>0</v>
      </c>
      <c r="I49" s="342">
        <f>Sludge!$J53</f>
        <v>0</v>
      </c>
      <c r="J49" s="342" t="str">
        <f>IF(Select2=2,MSW!$J53,"")</f>
        <v/>
      </c>
      <c r="K49" s="342">
        <f>Industry!$J53</f>
        <v>0</v>
      </c>
      <c r="L49" s="343">
        <f t="shared" si="1"/>
        <v>147.22154829001084</v>
      </c>
      <c r="M49" s="344">
        <f>Recovery_OX!C46</f>
        <v>0</v>
      </c>
      <c r="N49" s="291"/>
      <c r="O49" s="345">
        <f>(L49-M49)*(1-Recovery_OX!F46)</f>
        <v>132.49939346100976</v>
      </c>
    </row>
    <row r="50" spans="2:15" x14ac:dyDescent="0.25">
      <c r="B50" s="338">
        <f t="shared" si="0"/>
        <v>1985</v>
      </c>
      <c r="C50" s="339">
        <f>IF(Select2=1,Food!$J54,"")</f>
        <v>47.952816620343484</v>
      </c>
      <c r="D50" s="340">
        <f>IF(Select2=1,Garden!$J54,"")</f>
        <v>0</v>
      </c>
      <c r="E50" s="340">
        <f>IF(Select2=1,Paper!$J54,"")</f>
        <v>73.387302684173562</v>
      </c>
      <c r="F50" s="340">
        <f>IF(Select2=1,Wood!$J54,"")</f>
        <v>19.267985569970953</v>
      </c>
      <c r="G50" s="340">
        <f>IF(Select2=1,Textiles!$J54,"")</f>
        <v>9.493219888503182</v>
      </c>
      <c r="H50" s="341">
        <f>IF(Select2=1,Nappies!$J54,"")</f>
        <v>0</v>
      </c>
      <c r="I50" s="342">
        <f>Sludge!$J54</f>
        <v>0</v>
      </c>
      <c r="J50" s="342" t="str">
        <f>IF(Select2=2,MSW!$J54,"")</f>
        <v/>
      </c>
      <c r="K50" s="342">
        <f>Industry!$J54</f>
        <v>0</v>
      </c>
      <c r="L50" s="343">
        <f t="shared" si="1"/>
        <v>150.10132476299117</v>
      </c>
      <c r="M50" s="344">
        <f>Recovery_OX!C47</f>
        <v>0</v>
      </c>
      <c r="N50" s="291"/>
      <c r="O50" s="345">
        <f>(L50-M50)*(1-Recovery_OX!F47)</f>
        <v>135.09119228669206</v>
      </c>
    </row>
    <row r="51" spans="2:15" x14ac:dyDescent="0.25">
      <c r="B51" s="338">
        <f t="shared" si="0"/>
        <v>1986</v>
      </c>
      <c r="C51" s="339">
        <f>IF(Select2=1,Food!$J55,"")</f>
        <v>48.460090407731641</v>
      </c>
      <c r="D51" s="340">
        <f>IF(Select2=1,Garden!$J55,"")</f>
        <v>0</v>
      </c>
      <c r="E51" s="340">
        <f>IF(Select2=1,Paper!$J55,"")</f>
        <v>74.844739416369237</v>
      </c>
      <c r="F51" s="340">
        <f>IF(Select2=1,Wood!$J55,"")</f>
        <v>19.774234796353625</v>
      </c>
      <c r="G51" s="340">
        <f>IF(Select2=1,Textiles!$J55,"")</f>
        <v>9.6817506951450056</v>
      </c>
      <c r="H51" s="341">
        <f>IF(Select2=1,Nappies!$J55,"")</f>
        <v>0</v>
      </c>
      <c r="I51" s="342">
        <f>Sludge!$J55</f>
        <v>0</v>
      </c>
      <c r="J51" s="342" t="str">
        <f>IF(Select2=2,MSW!$J55,"")</f>
        <v/>
      </c>
      <c r="K51" s="342">
        <f>Industry!$J55</f>
        <v>0</v>
      </c>
      <c r="L51" s="343">
        <f t="shared" si="1"/>
        <v>152.76081531559953</v>
      </c>
      <c r="M51" s="344">
        <f>Recovery_OX!C48</f>
        <v>0</v>
      </c>
      <c r="N51" s="291"/>
      <c r="O51" s="345">
        <f>(L51-M51)*(1-Recovery_OX!F48)</f>
        <v>137.48473378403958</v>
      </c>
    </row>
    <row r="52" spans="2:15" x14ac:dyDescent="0.25">
      <c r="B52" s="338">
        <f t="shared" si="0"/>
        <v>1987</v>
      </c>
      <c r="C52" s="339">
        <f>IF(Select2=1,Food!$J56,"")</f>
        <v>48.881687825515854</v>
      </c>
      <c r="D52" s="340">
        <f>IF(Select2=1,Garden!$J56,"")</f>
        <v>0</v>
      </c>
      <c r="E52" s="340">
        <f>IF(Select2=1,Paper!$J56,"")</f>
        <v>76.217301640694046</v>
      </c>
      <c r="F52" s="340">
        <f>IF(Select2=1,Wood!$J56,"")</f>
        <v>20.265522096959078</v>
      </c>
      <c r="G52" s="340">
        <f>IF(Select2=1,Textiles!$J56,"")</f>
        <v>9.8593023223283041</v>
      </c>
      <c r="H52" s="341">
        <f>IF(Select2=1,Nappies!$J56,"")</f>
        <v>0</v>
      </c>
      <c r="I52" s="342">
        <f>Sludge!$J56</f>
        <v>0</v>
      </c>
      <c r="J52" s="342" t="str">
        <f>IF(Select2=2,MSW!$J56,"")</f>
        <v/>
      </c>
      <c r="K52" s="342">
        <f>Industry!$J56</f>
        <v>0</v>
      </c>
      <c r="L52" s="343">
        <f t="shared" si="1"/>
        <v>155.22381388549729</v>
      </c>
      <c r="M52" s="344">
        <f>Recovery_OX!C49</f>
        <v>0</v>
      </c>
      <c r="N52" s="291"/>
      <c r="O52" s="345">
        <f>(L52-M52)*(1-Recovery_OX!F49)</f>
        <v>139.70143249694758</v>
      </c>
    </row>
    <row r="53" spans="2:15" x14ac:dyDescent="0.25">
      <c r="B53" s="338">
        <f t="shared" si="0"/>
        <v>1988</v>
      </c>
      <c r="C53" s="339">
        <f>IF(Select2=1,Food!$J57,"")</f>
        <v>49.232079245497289</v>
      </c>
      <c r="D53" s="340">
        <f>IF(Select2=1,Garden!$J57,"")</f>
        <v>0</v>
      </c>
      <c r="E53" s="340">
        <f>IF(Select2=1,Paper!$J57,"")</f>
        <v>77.50993206370066</v>
      </c>
      <c r="F53" s="340">
        <f>IF(Select2=1,Wood!$J57,"")</f>
        <v>20.74228966352074</v>
      </c>
      <c r="G53" s="340">
        <f>IF(Select2=1,Textiles!$J57,"")</f>
        <v>10.026514147689712</v>
      </c>
      <c r="H53" s="341">
        <f>IF(Select2=1,Nappies!$J57,"")</f>
        <v>0</v>
      </c>
      <c r="I53" s="342">
        <f>Sludge!$J57</f>
        <v>0</v>
      </c>
      <c r="J53" s="342" t="str">
        <f>IF(Select2=2,MSW!$J57,"")</f>
        <v/>
      </c>
      <c r="K53" s="342">
        <f>Industry!$J57</f>
        <v>0</v>
      </c>
      <c r="L53" s="343">
        <f t="shared" si="1"/>
        <v>157.51081512040841</v>
      </c>
      <c r="M53" s="344">
        <f>Recovery_OX!C50</f>
        <v>0</v>
      </c>
      <c r="N53" s="291"/>
      <c r="O53" s="345">
        <f>(L53-M53)*(1-Recovery_OX!F50)</f>
        <v>141.75973360836758</v>
      </c>
    </row>
    <row r="54" spans="2:15" x14ac:dyDescent="0.25">
      <c r="B54" s="338">
        <f t="shared" si="0"/>
        <v>1989</v>
      </c>
      <c r="C54" s="339">
        <f>IF(Select2=1,Food!$J58,"")</f>
        <v>49.523291055668892</v>
      </c>
      <c r="D54" s="340">
        <f>IF(Select2=1,Garden!$J58,"")</f>
        <v>0</v>
      </c>
      <c r="E54" s="340">
        <f>IF(Select2=1,Paper!$J58,"")</f>
        <v>78.727285551120289</v>
      </c>
      <c r="F54" s="340">
        <f>IF(Select2=1,Wood!$J58,"")</f>
        <v>21.204966619031296</v>
      </c>
      <c r="G54" s="340">
        <f>IF(Select2=1,Textiles!$J58,"")</f>
        <v>10.183988314410968</v>
      </c>
      <c r="H54" s="341">
        <f>IF(Select2=1,Nappies!$J58,"")</f>
        <v>0</v>
      </c>
      <c r="I54" s="342">
        <f>Sludge!$J58</f>
        <v>0</v>
      </c>
      <c r="J54" s="342" t="str">
        <f>IF(Select2=2,MSW!$J58,"")</f>
        <v/>
      </c>
      <c r="K54" s="342">
        <f>Industry!$J58</f>
        <v>0</v>
      </c>
      <c r="L54" s="343">
        <f t="shared" si="1"/>
        <v>159.63953154023147</v>
      </c>
      <c r="M54" s="344">
        <f>Recovery_OX!C51</f>
        <v>0</v>
      </c>
      <c r="N54" s="291"/>
      <c r="O54" s="345">
        <f>(L54-M54)*(1-Recovery_OX!F51)</f>
        <v>143.67557838620834</v>
      </c>
    </row>
    <row r="55" spans="2:15" x14ac:dyDescent="0.25">
      <c r="B55" s="338">
        <f t="shared" si="0"/>
        <v>1990</v>
      </c>
      <c r="C55" s="339">
        <f>IF(Select2=1,Food!$J59,"")</f>
        <v>49.765318438610848</v>
      </c>
      <c r="D55" s="340">
        <f>IF(Select2=1,Garden!$J59,"")</f>
        <v>0</v>
      </c>
      <c r="E55" s="340">
        <f>IF(Select2=1,Paper!$J59,"")</f>
        <v>79.873745890407207</v>
      </c>
      <c r="F55" s="340">
        <f>IF(Select2=1,Wood!$J59,"")</f>
        <v>21.653969403982334</v>
      </c>
      <c r="G55" s="340">
        <f>IF(Select2=1,Textiles!$J59,"")</f>
        <v>10.332291899584778</v>
      </c>
      <c r="H55" s="341">
        <f>IF(Select2=1,Nappies!$J59,"")</f>
        <v>0</v>
      </c>
      <c r="I55" s="342">
        <f>Sludge!$J59</f>
        <v>0</v>
      </c>
      <c r="J55" s="342" t="str">
        <f>IF(Select2=2,MSW!$J59,"")</f>
        <v/>
      </c>
      <c r="K55" s="342">
        <f>Industry!$J59</f>
        <v>0</v>
      </c>
      <c r="L55" s="343">
        <f t="shared" si="1"/>
        <v>161.62532563258517</v>
      </c>
      <c r="M55" s="344">
        <f>Recovery_OX!C52</f>
        <v>3.3</v>
      </c>
      <c r="N55" s="291"/>
      <c r="O55" s="345">
        <f>(L55-M55)*(1-Recovery_OX!F52)</f>
        <v>142.49279306932664</v>
      </c>
    </row>
    <row r="56" spans="2:15" x14ac:dyDescent="0.25">
      <c r="B56" s="338">
        <f t="shared" si="0"/>
        <v>1991</v>
      </c>
      <c r="C56" s="339">
        <f>IF(Select2=1,Food!$J60,"")</f>
        <v>50.922723888026617</v>
      </c>
      <c r="D56" s="340">
        <f>IF(Select2=1,Garden!$J60,"")</f>
        <v>0</v>
      </c>
      <c r="E56" s="340">
        <f>IF(Select2=1,Paper!$J60,"")</f>
        <v>81.590239414108851</v>
      </c>
      <c r="F56" s="340">
        <f>IF(Select2=1,Wood!$J60,"")</f>
        <v>22.209224846688716</v>
      </c>
      <c r="G56" s="340">
        <f>IF(Select2=1,Textiles!$J60,"")</f>
        <v>10.554333722375542</v>
      </c>
      <c r="H56" s="341">
        <f>IF(Select2=1,Nappies!$J60,"")</f>
        <v>0</v>
      </c>
      <c r="I56" s="342">
        <f>Sludge!$J60</f>
        <v>0</v>
      </c>
      <c r="J56" s="342" t="str">
        <f>IF(Select2=2,MSW!$J60,"")</f>
        <v/>
      </c>
      <c r="K56" s="342">
        <f>Industry!$J60</f>
        <v>0</v>
      </c>
      <c r="L56" s="343">
        <f t="shared" si="1"/>
        <v>165.27652187119972</v>
      </c>
      <c r="M56" s="344">
        <f>Recovery_OX!C53</f>
        <v>3.3</v>
      </c>
      <c r="N56" s="291"/>
      <c r="O56" s="345">
        <f>(L56-M56)*(1-Recovery_OX!F53)</f>
        <v>145.77886968407975</v>
      </c>
    </row>
    <row r="57" spans="2:15" x14ac:dyDescent="0.25">
      <c r="B57" s="338">
        <f t="shared" si="0"/>
        <v>1992</v>
      </c>
      <c r="C57" s="339">
        <f>IF(Select2=1,Food!$J61,"")</f>
        <v>48.288624713386895</v>
      </c>
      <c r="D57" s="340">
        <f>IF(Select2=1,Garden!$J61,"")</f>
        <v>0</v>
      </c>
      <c r="E57" s="340">
        <f>IF(Select2=1,Paper!$J61,"")</f>
        <v>80.812077112980788</v>
      </c>
      <c r="F57" s="340">
        <f>IF(Select2=1,Wood!$J61,"")</f>
        <v>22.298601769280531</v>
      </c>
      <c r="G57" s="340">
        <f>IF(Select2=1,Textiles!$J61,"")</f>
        <v>10.453672360486499</v>
      </c>
      <c r="H57" s="341">
        <f>IF(Select2=1,Nappies!$J61,"")</f>
        <v>0</v>
      </c>
      <c r="I57" s="342">
        <f>Sludge!$J61</f>
        <v>0</v>
      </c>
      <c r="J57" s="342" t="str">
        <f>IF(Select2=2,MSW!$J61,"")</f>
        <v/>
      </c>
      <c r="K57" s="342">
        <f>Industry!$J61</f>
        <v>0</v>
      </c>
      <c r="L57" s="343">
        <f t="shared" si="1"/>
        <v>161.85297595613474</v>
      </c>
      <c r="M57" s="344">
        <f>Recovery_OX!C54</f>
        <v>3.5</v>
      </c>
      <c r="N57" s="291"/>
      <c r="O57" s="345">
        <f>(L57-M57)*(1-Recovery_OX!F54)</f>
        <v>142.51767836052127</v>
      </c>
    </row>
    <row r="58" spans="2:15" x14ac:dyDescent="0.25">
      <c r="B58" s="338">
        <f t="shared" si="0"/>
        <v>1993</v>
      </c>
      <c r="C58" s="339">
        <f>IF(Select2=1,Food!$J62,"")</f>
        <v>46.142193454539132</v>
      </c>
      <c r="D58" s="340">
        <f>IF(Select2=1,Garden!$J62,"")</f>
        <v>0</v>
      </c>
      <c r="E58" s="340">
        <f>IF(Select2=1,Paper!$J62,"")</f>
        <v>80.107719780692918</v>
      </c>
      <c r="F58" s="340">
        <f>IF(Select2=1,Wood!$J62,"")</f>
        <v>22.390684272568635</v>
      </c>
      <c r="G58" s="340">
        <f>IF(Select2=1,Textiles!$J62,"")</f>
        <v>10.362558246860271</v>
      </c>
      <c r="H58" s="341">
        <f>IF(Select2=1,Nappies!$J62,"")</f>
        <v>0</v>
      </c>
      <c r="I58" s="342">
        <f>Sludge!$J62</f>
        <v>0</v>
      </c>
      <c r="J58" s="342" t="str">
        <f>IF(Select2=2,MSW!$J62,"")</f>
        <v/>
      </c>
      <c r="K58" s="342">
        <f>Industry!$J62</f>
        <v>0</v>
      </c>
      <c r="L58" s="343">
        <f t="shared" si="1"/>
        <v>159.00315575466095</v>
      </c>
      <c r="M58" s="344">
        <f>Recovery_OX!C55</f>
        <v>3.5</v>
      </c>
      <c r="N58" s="291"/>
      <c r="O58" s="345">
        <f>(L58-M58)*(1-Recovery_OX!F55)</f>
        <v>139.95284017919485</v>
      </c>
    </row>
    <row r="59" spans="2:15" x14ac:dyDescent="0.25">
      <c r="B59" s="338">
        <f t="shared" si="0"/>
        <v>1994</v>
      </c>
      <c r="C59" s="339">
        <f>IF(Select2=1,Food!$J63,"")</f>
        <v>44.599865565700192</v>
      </c>
      <c r="D59" s="340">
        <f>IF(Select2=1,Garden!$J63,"")</f>
        <v>0</v>
      </c>
      <c r="E59" s="340">
        <f>IF(Select2=1,Paper!$J63,"")</f>
        <v>79.605256269205839</v>
      </c>
      <c r="F59" s="340">
        <f>IF(Select2=1,Wood!$J63,"")</f>
        <v>22.510240533886705</v>
      </c>
      <c r="G59" s="340">
        <f>IF(Select2=1,Textiles!$J63,"")</f>
        <v>10.297560673355976</v>
      </c>
      <c r="H59" s="341">
        <f>IF(Select2=1,Nappies!$J63,"")</f>
        <v>0</v>
      </c>
      <c r="I59" s="342">
        <f>Sludge!$J63</f>
        <v>0</v>
      </c>
      <c r="J59" s="342" t="str">
        <f>IF(Select2=2,MSW!$J63,"")</f>
        <v/>
      </c>
      <c r="K59" s="342">
        <f>Industry!$J63</f>
        <v>0</v>
      </c>
      <c r="L59" s="343">
        <f t="shared" si="1"/>
        <v>157.01292304214871</v>
      </c>
      <c r="M59" s="344">
        <f>Recovery_OX!C56</f>
        <v>3.5</v>
      </c>
      <c r="N59" s="291"/>
      <c r="O59" s="345">
        <f>(L59-M59)*(1-Recovery_OX!F56)</f>
        <v>138.16163073793385</v>
      </c>
    </row>
    <row r="60" spans="2:15" x14ac:dyDescent="0.25">
      <c r="B60" s="338">
        <f t="shared" si="0"/>
        <v>1995</v>
      </c>
      <c r="C60" s="339">
        <f>IF(Select2=1,Food!$J64,"")</f>
        <v>43.466501491823522</v>
      </c>
      <c r="D60" s="340">
        <f>IF(Select2=1,Garden!$J64,"")</f>
        <v>0</v>
      </c>
      <c r="E60" s="340">
        <f>IF(Select2=1,Paper!$J64,"")</f>
        <v>79.230925197780294</v>
      </c>
      <c r="F60" s="340">
        <f>IF(Select2=1,Wood!$J64,"")</f>
        <v>22.644820844833976</v>
      </c>
      <c r="G60" s="340">
        <f>IF(Select2=1,Textiles!$J64,"")</f>
        <v>10.249138030171572</v>
      </c>
      <c r="H60" s="341">
        <f>IF(Select2=1,Nappies!$J64,"")</f>
        <v>0</v>
      </c>
      <c r="I60" s="342">
        <f>Sludge!$J64</f>
        <v>0</v>
      </c>
      <c r="J60" s="342" t="str">
        <f>IF(Select2=2,MSW!$J64,"")</f>
        <v/>
      </c>
      <c r="K60" s="342">
        <f>Industry!$J64</f>
        <v>0</v>
      </c>
      <c r="L60" s="343">
        <f t="shared" si="1"/>
        <v>155.59138556460937</v>
      </c>
      <c r="M60" s="344">
        <f>Recovery_OX!C57</f>
        <v>3.5</v>
      </c>
      <c r="N60" s="291"/>
      <c r="O60" s="345">
        <f>(L60-M60)*(1-Recovery_OX!F57)</f>
        <v>136.88224700814843</v>
      </c>
    </row>
    <row r="61" spans="2:15" x14ac:dyDescent="0.25">
      <c r="B61" s="338">
        <f t="shared" si="0"/>
        <v>1996</v>
      </c>
      <c r="C61" s="339">
        <f>IF(Select2=1,Food!$J65,"")</f>
        <v>42.569854065869933</v>
      </c>
      <c r="D61" s="340">
        <f>IF(Select2=1,Garden!$J65,"")</f>
        <v>0</v>
      </c>
      <c r="E61" s="340">
        <f>IF(Select2=1,Paper!$J65,"")</f>
        <v>78.908557578961563</v>
      </c>
      <c r="F61" s="340">
        <f>IF(Select2=1,Wood!$J65,"")</f>
        <v>22.781085307862099</v>
      </c>
      <c r="G61" s="340">
        <f>IF(Select2=1,Textiles!$J65,"")</f>
        <v>10.207437264801445</v>
      </c>
      <c r="H61" s="341">
        <f>IF(Select2=1,Nappies!$J65,"")</f>
        <v>0</v>
      </c>
      <c r="I61" s="342">
        <f>Sludge!$J65</f>
        <v>0</v>
      </c>
      <c r="J61" s="342" t="str">
        <f>IF(Select2=2,MSW!$J65,"")</f>
        <v/>
      </c>
      <c r="K61" s="342">
        <f>Industry!$J65</f>
        <v>0</v>
      </c>
      <c r="L61" s="343">
        <f t="shared" si="1"/>
        <v>154.46693421749507</v>
      </c>
      <c r="M61" s="344">
        <f>Recovery_OX!C58</f>
        <v>6</v>
      </c>
      <c r="N61" s="291"/>
      <c r="O61" s="345">
        <f>(L61-M61)*(1-Recovery_OX!F58)</f>
        <v>133.62024079574556</v>
      </c>
    </row>
    <row r="62" spans="2:15" x14ac:dyDescent="0.25">
      <c r="B62" s="338">
        <f t="shared" si="0"/>
        <v>1997</v>
      </c>
      <c r="C62" s="339">
        <f>IF(Select2=1,Food!$J66,"")</f>
        <v>41.734597349002797</v>
      </c>
      <c r="D62" s="340">
        <f>IF(Select2=1,Garden!$J66,"")</f>
        <v>0</v>
      </c>
      <c r="E62" s="340">
        <f>IF(Select2=1,Paper!$J66,"")</f>
        <v>78.705510215676867</v>
      </c>
      <c r="F62" s="340">
        <f>IF(Select2=1,Wood!$J66,"")</f>
        <v>22.932194551941727</v>
      </c>
      <c r="G62" s="340">
        <f>IF(Select2=1,Textiles!$J66,"")</f>
        <v>10.181171504963697</v>
      </c>
      <c r="H62" s="341">
        <f>IF(Select2=1,Nappies!$J66,"")</f>
        <v>0</v>
      </c>
      <c r="I62" s="342">
        <f>Sludge!$J66</f>
        <v>0</v>
      </c>
      <c r="J62" s="342" t="str">
        <f>IF(Select2=2,MSW!$J66,"")</f>
        <v/>
      </c>
      <c r="K62" s="342">
        <f>Industry!$J66</f>
        <v>0</v>
      </c>
      <c r="L62" s="343">
        <f t="shared" si="1"/>
        <v>153.55347362158508</v>
      </c>
      <c r="M62" s="344">
        <f>Recovery_OX!C59</f>
        <v>6.6</v>
      </c>
      <c r="N62" s="291"/>
      <c r="O62" s="345">
        <f>(L62-M62)*(1-Recovery_OX!F59)</f>
        <v>132.25812625942658</v>
      </c>
    </row>
    <row r="63" spans="2:15" x14ac:dyDescent="0.25">
      <c r="B63" s="338">
        <f t="shared" si="0"/>
        <v>1998</v>
      </c>
      <c r="C63" s="339">
        <f>IF(Select2=1,Food!$J67,"")</f>
        <v>40.966422922646785</v>
      </c>
      <c r="D63" s="340">
        <f>IF(Select2=1,Garden!$J67,"")</f>
        <v>0</v>
      </c>
      <c r="E63" s="340">
        <f>IF(Select2=1,Paper!$J67,"")</f>
        <v>78.865679282882695</v>
      </c>
      <c r="F63" s="340">
        <f>IF(Select2=1,Wood!$J67,"")</f>
        <v>23.098338914307721</v>
      </c>
      <c r="G63" s="340">
        <f>IF(Select2=1,Textiles!$J67,"")</f>
        <v>10.330746068095106</v>
      </c>
      <c r="H63" s="341">
        <f>IF(Select2=1,Nappies!$J67,"")</f>
        <v>0</v>
      </c>
      <c r="I63" s="342">
        <f>Sludge!$J67</f>
        <v>0</v>
      </c>
      <c r="J63" s="342" t="str">
        <f>IF(Select2=2,MSW!$J67,"")</f>
        <v/>
      </c>
      <c r="K63" s="342">
        <f>Industry!$J67</f>
        <v>0</v>
      </c>
      <c r="L63" s="343">
        <f t="shared" si="1"/>
        <v>153.26118718793231</v>
      </c>
      <c r="M63" s="344">
        <f>Recovery_OX!C60</f>
        <v>7.1</v>
      </c>
      <c r="N63" s="291"/>
      <c r="O63" s="345">
        <f>(L63-M63)*(1-Recovery_OX!F60)</f>
        <v>131.5450684691391</v>
      </c>
    </row>
    <row r="64" spans="2:15" x14ac:dyDescent="0.25">
      <c r="B64" s="338">
        <f t="shared" si="0"/>
        <v>1999</v>
      </c>
      <c r="C64" s="339">
        <f>IF(Select2=1,Food!$J68,"")</f>
        <v>40.230090308770116</v>
      </c>
      <c r="D64" s="340">
        <f>IF(Select2=1,Garden!$J68,"")</f>
        <v>0</v>
      </c>
      <c r="E64" s="340">
        <f>IF(Select2=1,Paper!$J68,"")</f>
        <v>79.326079604452659</v>
      </c>
      <c r="F64" s="340">
        <f>IF(Select2=1,Wood!$J68,"")</f>
        <v>23.277186839605818</v>
      </c>
      <c r="G64" s="340">
        <f>IF(Select2=1,Textiles!$J68,"")</f>
        <v>10.487107243217451</v>
      </c>
      <c r="H64" s="341">
        <f>IF(Select2=1,Nappies!$J68,"")</f>
        <v>0</v>
      </c>
      <c r="I64" s="342">
        <f>Sludge!$J68</f>
        <v>0</v>
      </c>
      <c r="J64" s="342" t="str">
        <f>IF(Select2=2,MSW!$J68,"")</f>
        <v/>
      </c>
      <c r="K64" s="342">
        <f>Industry!$J68</f>
        <v>0</v>
      </c>
      <c r="L64" s="343">
        <f t="shared" si="1"/>
        <v>153.32046399604604</v>
      </c>
      <c r="M64" s="344">
        <f>Recovery_OX!C61</f>
        <v>7.7</v>
      </c>
      <c r="N64" s="291"/>
      <c r="O64" s="345">
        <f>(L64-M64)*(1-Recovery_OX!F61)</f>
        <v>131.05841759644144</v>
      </c>
    </row>
    <row r="65" spans="2:15" x14ac:dyDescent="0.25">
      <c r="B65" s="338">
        <f t="shared" si="0"/>
        <v>2000</v>
      </c>
      <c r="C65" s="339">
        <f>IF(Select2=1,Food!$J69,"")</f>
        <v>39.530421173948817</v>
      </c>
      <c r="D65" s="340">
        <f>IF(Select2=1,Garden!$J69,"")</f>
        <v>0</v>
      </c>
      <c r="E65" s="340">
        <f>IF(Select2=1,Paper!$J69,"")</f>
        <v>80.095132538136653</v>
      </c>
      <c r="F65" s="340">
        <f>IF(Select2=1,Wood!$J69,"")</f>
        <v>23.47119368149443</v>
      </c>
      <c r="G65" s="340">
        <f>IF(Select2=1,Textiles!$J69,"")</f>
        <v>10.781677883524907</v>
      </c>
      <c r="H65" s="341">
        <f>IF(Select2=1,Nappies!$J69,"")</f>
        <v>0</v>
      </c>
      <c r="I65" s="342">
        <f>Sludge!$J69</f>
        <v>0</v>
      </c>
      <c r="J65" s="342" t="str">
        <f>IF(Select2=2,MSW!$J69,"")</f>
        <v/>
      </c>
      <c r="K65" s="342">
        <f>Industry!$J69</f>
        <v>0</v>
      </c>
      <c r="L65" s="343">
        <f t="shared" si="1"/>
        <v>153.87842527710481</v>
      </c>
      <c r="M65" s="344">
        <f>Recovery_OX!C62</f>
        <v>8.1999999999999993</v>
      </c>
      <c r="N65" s="291"/>
      <c r="O65" s="345">
        <f>(L65-M65)*(1-Recovery_OX!F62)</f>
        <v>131.11058274939435</v>
      </c>
    </row>
    <row r="66" spans="2:15" x14ac:dyDescent="0.25">
      <c r="B66" s="338">
        <f t="shared" si="0"/>
        <v>2001</v>
      </c>
      <c r="C66" s="339">
        <f>IF(Select2=1,Food!$J70,"")</f>
        <v>38.355004750800056</v>
      </c>
      <c r="D66" s="340">
        <f>IF(Select2=1,Garden!$J70,"")</f>
        <v>0</v>
      </c>
      <c r="E66" s="340">
        <f>IF(Select2=1,Paper!$J70,"")</f>
        <v>80.69117879499359</v>
      </c>
      <c r="F66" s="340">
        <f>IF(Select2=1,Wood!$J70,"")</f>
        <v>23.605367008298959</v>
      </c>
      <c r="G66" s="340">
        <f>IF(Select2=1,Textiles!$J70,"")</f>
        <v>11.003562587962534</v>
      </c>
      <c r="H66" s="341">
        <f>IF(Select2=1,Nappies!$J70,"")</f>
        <v>0</v>
      </c>
      <c r="I66" s="342">
        <f>Sludge!$J70</f>
        <v>0</v>
      </c>
      <c r="J66" s="342" t="str">
        <f>IF(Select2=2,MSW!$J70,"")</f>
        <v/>
      </c>
      <c r="K66" s="342">
        <f>Industry!$J70</f>
        <v>0</v>
      </c>
      <c r="L66" s="343">
        <f t="shared" si="1"/>
        <v>153.65511314205514</v>
      </c>
      <c r="M66" s="344">
        <f>Recovery_OX!C63</f>
        <v>8.8000000000000007</v>
      </c>
      <c r="N66" s="291"/>
      <c r="O66" s="345">
        <f>(L66-M66)*(1-Recovery_OX!F63)</f>
        <v>130.36960182784964</v>
      </c>
    </row>
    <row r="67" spans="2:15" x14ac:dyDescent="0.25">
      <c r="B67" s="338">
        <f t="shared" si="0"/>
        <v>2002</v>
      </c>
      <c r="C67" s="339">
        <f>IF(Select2=1,Food!$J71,"")</f>
        <v>37.266835028105518</v>
      </c>
      <c r="D67" s="340">
        <f>IF(Select2=1,Garden!$J71,"")</f>
        <v>0</v>
      </c>
      <c r="E67" s="340">
        <f>IF(Select2=1,Paper!$J71,"")</f>
        <v>81.809750562860188</v>
      </c>
      <c r="F67" s="340">
        <f>IF(Select2=1,Wood!$J71,"")</f>
        <v>23.789360126992669</v>
      </c>
      <c r="G67" s="340">
        <f>IF(Select2=1,Textiles!$J71,"")</f>
        <v>11.397015690751816</v>
      </c>
      <c r="H67" s="341">
        <f>IF(Select2=1,Nappies!$J71,"")</f>
        <v>0</v>
      </c>
      <c r="I67" s="342">
        <f>Sludge!$J71</f>
        <v>0</v>
      </c>
      <c r="J67" s="342" t="str">
        <f>IF(Select2=2,MSW!$J71,"")</f>
        <v/>
      </c>
      <c r="K67" s="342">
        <f>Industry!$J71</f>
        <v>0</v>
      </c>
      <c r="L67" s="343">
        <f t="shared" si="1"/>
        <v>154.2629614087102</v>
      </c>
      <c r="M67" s="344">
        <f>Recovery_OX!C64</f>
        <v>9.3000000000000007</v>
      </c>
      <c r="N67" s="291"/>
      <c r="O67" s="345">
        <f>(L67-M67)*(1-Recovery_OX!F64)</f>
        <v>130.46666526783918</v>
      </c>
    </row>
    <row r="68" spans="2:15" x14ac:dyDescent="0.25">
      <c r="B68" s="338">
        <f t="shared" si="0"/>
        <v>2003</v>
      </c>
      <c r="C68" s="339">
        <f>IF(Select2=1,Food!$J72,"")</f>
        <v>36.879204998663383</v>
      </c>
      <c r="D68" s="340">
        <f>IF(Select2=1,Garden!$J72,"")</f>
        <v>0</v>
      </c>
      <c r="E68" s="340">
        <f>IF(Select2=1,Paper!$J72,"")</f>
        <v>82.25920778339588</v>
      </c>
      <c r="F68" s="340">
        <f>IF(Select2=1,Wood!$J72,"")</f>
        <v>24.152923978529962</v>
      </c>
      <c r="G68" s="340">
        <f>IF(Select2=1,Textiles!$J72,"")</f>
        <v>11.776042406637274</v>
      </c>
      <c r="H68" s="341">
        <f>IF(Select2=1,Nappies!$J72,"")</f>
        <v>0</v>
      </c>
      <c r="I68" s="342">
        <f>Sludge!$J72</f>
        <v>0</v>
      </c>
      <c r="J68" s="342" t="str">
        <f>IF(Select2=2,MSW!$J72,"")</f>
        <v/>
      </c>
      <c r="K68" s="342">
        <f>Industry!$J72</f>
        <v>0</v>
      </c>
      <c r="L68" s="343">
        <f t="shared" si="1"/>
        <v>155.06737916722648</v>
      </c>
      <c r="M68" s="344">
        <f>Recovery_OX!C65</f>
        <v>9.9</v>
      </c>
      <c r="N68" s="291"/>
      <c r="O68" s="345">
        <f>(L68-M68)*(1-Recovery_OX!F65)</f>
        <v>130.65064125050384</v>
      </c>
    </row>
    <row r="69" spans="2:15" x14ac:dyDescent="0.25">
      <c r="B69" s="338">
        <f t="shared" si="0"/>
        <v>2004</v>
      </c>
      <c r="C69" s="339">
        <f>IF(Select2=1,Food!$J73,"")</f>
        <v>37.241755698693574</v>
      </c>
      <c r="D69" s="340">
        <f>IF(Select2=1,Garden!$J73,"")</f>
        <v>0</v>
      </c>
      <c r="E69" s="340">
        <f>IF(Select2=1,Paper!$J73,"")</f>
        <v>82.406985649702818</v>
      </c>
      <c r="F69" s="340">
        <f>IF(Select2=1,Wood!$J73,"")</f>
        <v>24.786138944277766</v>
      </c>
      <c r="G69" s="340">
        <f>IF(Select2=1,Textiles!$J73,"")</f>
        <v>12.033002767917148</v>
      </c>
      <c r="H69" s="341">
        <f>IF(Select2=1,Nappies!$J73,"")</f>
        <v>0</v>
      </c>
      <c r="I69" s="342">
        <f>Sludge!$J73</f>
        <v>0</v>
      </c>
      <c r="J69" s="342" t="str">
        <f>IF(Select2=2,MSW!$J73,"")</f>
        <v/>
      </c>
      <c r="K69" s="342">
        <f>Industry!$J73</f>
        <v>0</v>
      </c>
      <c r="L69" s="343">
        <f t="shared" si="1"/>
        <v>156.4678830605913</v>
      </c>
      <c r="M69" s="344">
        <f>Recovery_OX!C66</f>
        <v>15.6</v>
      </c>
      <c r="N69" s="291"/>
      <c r="O69" s="345">
        <f>(L69-M69)*(1-Recovery_OX!F66)</f>
        <v>126.78109475453218</v>
      </c>
    </row>
    <row r="70" spans="2:15" x14ac:dyDescent="0.25">
      <c r="B70" s="338">
        <f t="shared" si="0"/>
        <v>2005</v>
      </c>
      <c r="C70" s="339">
        <f>IF(Select2=1,Food!$J74,"")</f>
        <v>38.355697987276145</v>
      </c>
      <c r="D70" s="340">
        <f>IF(Select2=1,Garden!$J74,"")</f>
        <v>0</v>
      </c>
      <c r="E70" s="340">
        <f>IF(Select2=1,Paper!$J74,"")</f>
        <v>81.919506713707435</v>
      </c>
      <c r="F70" s="340">
        <f>IF(Select2=1,Wood!$J74,"")</f>
        <v>25.663002380632836</v>
      </c>
      <c r="G70" s="340">
        <f>IF(Select2=1,Textiles!$J74,"")</f>
        <v>12.285330360333413</v>
      </c>
      <c r="H70" s="341">
        <f>IF(Select2=1,Nappies!$J74,"")</f>
        <v>0</v>
      </c>
      <c r="I70" s="342">
        <f>Sludge!$J74</f>
        <v>0</v>
      </c>
      <c r="J70" s="342" t="str">
        <f>IF(Select2=2,MSW!$J74,"")</f>
        <v/>
      </c>
      <c r="K70" s="342">
        <f>Industry!$J74</f>
        <v>0</v>
      </c>
      <c r="L70" s="343">
        <f t="shared" si="1"/>
        <v>158.22353744194982</v>
      </c>
      <c r="M70" s="344">
        <f>Recovery_OX!C67</f>
        <v>18</v>
      </c>
      <c r="N70" s="291"/>
      <c r="O70" s="345">
        <f>(L70-M70)*(1-Recovery_OX!F67)</f>
        <v>126.20118369775484</v>
      </c>
    </row>
    <row r="71" spans="2:15" x14ac:dyDescent="0.25">
      <c r="B71" s="338">
        <f t="shared" si="0"/>
        <v>2006</v>
      </c>
      <c r="C71" s="339">
        <f>IF(Select2=1,Food!$J75,"")</f>
        <v>39.903509338710549</v>
      </c>
      <c r="D71" s="340">
        <f>IF(Select2=1,Garden!$J75,"")</f>
        <v>0</v>
      </c>
      <c r="E71" s="340">
        <f>IF(Select2=1,Paper!$J75,"")</f>
        <v>80.838685183788414</v>
      </c>
      <c r="F71" s="340">
        <f>IF(Select2=1,Wood!$J75,"")</f>
        <v>26.665933129305873</v>
      </c>
      <c r="G71" s="340">
        <f>IF(Select2=1,Textiles!$J75,"")</f>
        <v>12.538460694154583</v>
      </c>
      <c r="H71" s="341">
        <f>IF(Select2=1,Nappies!$J75,"")</f>
        <v>0</v>
      </c>
      <c r="I71" s="342">
        <f>Sludge!$J75</f>
        <v>0</v>
      </c>
      <c r="J71" s="342" t="str">
        <f>IF(Select2=2,MSW!$J75,"")</f>
        <v/>
      </c>
      <c r="K71" s="342">
        <f>Industry!$J75</f>
        <v>0</v>
      </c>
      <c r="L71" s="343">
        <f t="shared" si="1"/>
        <v>159.94658834595944</v>
      </c>
      <c r="M71" s="344">
        <f>Recovery_OX!C68</f>
        <v>20.6</v>
      </c>
      <c r="N71" s="291"/>
      <c r="O71" s="345">
        <f>(L71-M71)*(1-Recovery_OX!F68)</f>
        <v>125.41192951136351</v>
      </c>
    </row>
    <row r="72" spans="2:15" x14ac:dyDescent="0.25">
      <c r="B72" s="338">
        <f t="shared" si="0"/>
        <v>2007</v>
      </c>
      <c r="C72" s="339">
        <f>IF(Select2=1,Food!$J76,"")</f>
        <v>41.377173553547394</v>
      </c>
      <c r="D72" s="340">
        <f>IF(Select2=1,Garden!$J76,"")</f>
        <v>0</v>
      </c>
      <c r="E72" s="340">
        <f>IF(Select2=1,Paper!$J76,"")</f>
        <v>79.906901113325461</v>
      </c>
      <c r="F72" s="340">
        <f>IF(Select2=1,Wood!$J76,"")</f>
        <v>27.680321826950866</v>
      </c>
      <c r="G72" s="340">
        <f>IF(Select2=1,Textiles!$J76,"")</f>
        <v>12.799449884728327</v>
      </c>
      <c r="H72" s="341">
        <f>IF(Select2=1,Nappies!$J76,"")</f>
        <v>0</v>
      </c>
      <c r="I72" s="342">
        <f>Sludge!$J76</f>
        <v>0</v>
      </c>
      <c r="J72" s="342" t="str">
        <f>IF(Select2=2,MSW!$J76,"")</f>
        <v/>
      </c>
      <c r="K72" s="342">
        <f>Industry!$J76</f>
        <v>0</v>
      </c>
      <c r="L72" s="343">
        <f t="shared" si="1"/>
        <v>161.76384637855205</v>
      </c>
      <c r="M72" s="344">
        <f>Recovery_OX!C69</f>
        <v>25.9</v>
      </c>
      <c r="N72" s="291"/>
      <c r="O72" s="345">
        <f>(L72-M72)*(1-Recovery_OX!F69)</f>
        <v>122.27746174069684</v>
      </c>
    </row>
    <row r="73" spans="2:15" x14ac:dyDescent="0.25">
      <c r="B73" s="338">
        <f t="shared" si="0"/>
        <v>2008</v>
      </c>
      <c r="C73" s="339">
        <f>IF(Select2=1,Food!$J77,"")</f>
        <v>43.005913725169002</v>
      </c>
      <c r="D73" s="340">
        <f>IF(Select2=1,Garden!$J77,"")</f>
        <v>0</v>
      </c>
      <c r="E73" s="340">
        <f>IF(Select2=1,Paper!$J77,"")</f>
        <v>79.462700710729663</v>
      </c>
      <c r="F73" s="340">
        <f>IF(Select2=1,Wood!$J77,"")</f>
        <v>28.618305676663134</v>
      </c>
      <c r="G73" s="340">
        <f>IF(Select2=1,Textiles!$J77,"")</f>
        <v>13.242552257718192</v>
      </c>
      <c r="H73" s="341">
        <f>IF(Select2=1,Nappies!$J77,"")</f>
        <v>0</v>
      </c>
      <c r="I73" s="342">
        <f>Sludge!$J77</f>
        <v>0</v>
      </c>
      <c r="J73" s="342" t="str">
        <f>IF(Select2=2,MSW!$J77,"")</f>
        <v/>
      </c>
      <c r="K73" s="342">
        <f>Industry!$J77</f>
        <v>0</v>
      </c>
      <c r="L73" s="343">
        <f t="shared" si="1"/>
        <v>164.32947237028</v>
      </c>
      <c r="M73" s="344">
        <f>Recovery_OX!C70</f>
        <v>24.6</v>
      </c>
      <c r="N73" s="291"/>
      <c r="O73" s="345">
        <f>(L73-M73)*(1-Recovery_OX!F70)</f>
        <v>125.75652513325201</v>
      </c>
    </row>
    <row r="74" spans="2:15" x14ac:dyDescent="0.25">
      <c r="B74" s="338">
        <f t="shared" si="0"/>
        <v>2009</v>
      </c>
      <c r="C74" s="339">
        <f>IF(Select2=1,Food!$J78,"")</f>
        <v>44.608370316457524</v>
      </c>
      <c r="D74" s="340">
        <f>IF(Select2=1,Garden!$J78,"")</f>
        <v>0</v>
      </c>
      <c r="E74" s="340">
        <f>IF(Select2=1,Paper!$J78,"")</f>
        <v>78.911151402207082</v>
      </c>
      <c r="F74" s="340">
        <f>IF(Select2=1,Wood!$J78,"")</f>
        <v>29.718252528804626</v>
      </c>
      <c r="G74" s="340">
        <f>IF(Select2=1,Textiles!$J78,"")</f>
        <v>13.54131555958579</v>
      </c>
      <c r="H74" s="341">
        <f>IF(Select2=1,Nappies!$J78,"")</f>
        <v>0</v>
      </c>
      <c r="I74" s="342">
        <f>Sludge!$J78</f>
        <v>0</v>
      </c>
      <c r="J74" s="342" t="str">
        <f>IF(Select2=2,MSW!$J78,"")</f>
        <v/>
      </c>
      <c r="K74" s="342">
        <f>Industry!$J78</f>
        <v>0</v>
      </c>
      <c r="L74" s="343">
        <f t="shared" si="1"/>
        <v>166.77908980705504</v>
      </c>
      <c r="M74" s="344">
        <f>Recovery_OX!C71</f>
        <v>24.5</v>
      </c>
      <c r="N74" s="291"/>
      <c r="O74" s="345">
        <f>(L74-M74)*(1-Recovery_OX!F71)</f>
        <v>128.05118082634954</v>
      </c>
    </row>
    <row r="75" spans="2:15" x14ac:dyDescent="0.25">
      <c r="B75" s="338">
        <f t="shared" si="0"/>
        <v>2010</v>
      </c>
      <c r="C75" s="339">
        <f>IF(Select2=1,Food!$J79,"")</f>
        <v>47.093236664134679</v>
      </c>
      <c r="D75" s="340">
        <f>IF(Select2=1,Garden!$J79,"")</f>
        <v>0</v>
      </c>
      <c r="E75" s="340">
        <f>IF(Select2=1,Paper!$J79,"")</f>
        <v>78.527014460494684</v>
      </c>
      <c r="F75" s="340">
        <f>IF(Select2=1,Wood!$J79,"")</f>
        <v>30.706680246212521</v>
      </c>
      <c r="G75" s="340">
        <f>IF(Select2=1,Textiles!$J79,"")</f>
        <v>14.016117961770167</v>
      </c>
      <c r="H75" s="341">
        <f>IF(Select2=1,Nappies!$J79,"")</f>
        <v>0</v>
      </c>
      <c r="I75" s="342">
        <f>Sludge!$J79</f>
        <v>0</v>
      </c>
      <c r="J75" s="342" t="str">
        <f>IF(Select2=2,MSW!$J79,"")</f>
        <v/>
      </c>
      <c r="K75" s="342">
        <f>Industry!$J79</f>
        <v>0</v>
      </c>
      <c r="L75" s="343">
        <f t="shared" si="1"/>
        <v>170.34304933261205</v>
      </c>
      <c r="M75" s="344">
        <f>Recovery_OX!C72</f>
        <v>24.7</v>
      </c>
      <c r="N75" s="291"/>
      <c r="O75" s="345">
        <f>(L75-M75)*(1-Recovery_OX!F72)</f>
        <v>131.07874439935085</v>
      </c>
    </row>
    <row r="76" spans="2:15" x14ac:dyDescent="0.25">
      <c r="B76" s="338">
        <f t="shared" si="0"/>
        <v>2011</v>
      </c>
      <c r="C76" s="339">
        <f>IF(Select2=1,Food!$J80,"")</f>
        <v>49.105749601408434</v>
      </c>
      <c r="D76" s="340">
        <f>IF(Select2=1,Garden!$J80,"")</f>
        <v>0</v>
      </c>
      <c r="E76" s="340">
        <f>IF(Select2=1,Paper!$J80,"")</f>
        <v>78.143109117837781</v>
      </c>
      <c r="F76" s="340">
        <f>IF(Select2=1,Wood!$J80,"")</f>
        <v>31.656082067439208</v>
      </c>
      <c r="G76" s="340">
        <f>IF(Select2=1,Textiles!$J80,"")</f>
        <v>14.456628386134234</v>
      </c>
      <c r="H76" s="341">
        <f>IF(Select2=1,Nappies!$J80,"")</f>
        <v>0</v>
      </c>
      <c r="I76" s="342">
        <f>Sludge!$J80</f>
        <v>0</v>
      </c>
      <c r="J76" s="342" t="str">
        <f>IF(Select2=2,MSW!$J80,"")</f>
        <v/>
      </c>
      <c r="K76" s="342">
        <f>Industry!$J80</f>
        <v>0</v>
      </c>
      <c r="L76" s="343">
        <f t="shared" si="1"/>
        <v>173.36156917281966</v>
      </c>
      <c r="M76" s="344">
        <f>Recovery_OX!C73</f>
        <v>26.6</v>
      </c>
      <c r="N76" s="291"/>
      <c r="O76" s="345">
        <f>(L76-M76)*(1-Recovery_OX!F73)</f>
        <v>132.0854122555377</v>
      </c>
    </row>
    <row r="77" spans="2:15" x14ac:dyDescent="0.25">
      <c r="B77" s="338">
        <f t="shared" si="0"/>
        <v>2012</v>
      </c>
      <c r="C77" s="339">
        <f>IF(Select2=1,Food!$J81,"")</f>
        <v>50.131685584504581</v>
      </c>
      <c r="D77" s="340">
        <f>IF(Select2=1,Garden!$J81,"")</f>
        <v>0</v>
      </c>
      <c r="E77" s="340">
        <f>IF(Select2=1,Paper!$J81,"")</f>
        <v>77.509745477665192</v>
      </c>
      <c r="F77" s="340">
        <f>IF(Select2=1,Wood!$J81,"")</f>
        <v>32.456937559770083</v>
      </c>
      <c r="G77" s="340">
        <f>IF(Select2=1,Textiles!$J81,"")</f>
        <v>14.789940919213004</v>
      </c>
      <c r="H77" s="341">
        <f>IF(Select2=1,Nappies!$J81,"")</f>
        <v>0</v>
      </c>
      <c r="I77" s="342">
        <f>Sludge!$J81</f>
        <v>0</v>
      </c>
      <c r="J77" s="342" t="str">
        <f>IF(Select2=2,MSW!$J81,"")</f>
        <v/>
      </c>
      <c r="K77" s="342">
        <f>Industry!$J81</f>
        <v>0</v>
      </c>
      <c r="L77" s="343">
        <f t="shared" si="1"/>
        <v>174.88830954115286</v>
      </c>
      <c r="M77" s="344">
        <f>Recovery_OX!C74</f>
        <v>26.5</v>
      </c>
      <c r="N77" s="291"/>
      <c r="O77" s="345">
        <f>(L77-M77)*(1-Recovery_OX!F74)</f>
        <v>133.54947858703758</v>
      </c>
    </row>
    <row r="78" spans="2:15" x14ac:dyDescent="0.25">
      <c r="B78" s="338">
        <f t="shared" si="0"/>
        <v>2013</v>
      </c>
      <c r="C78" s="339">
        <f>IF(Select2=1,Food!$J82,"")</f>
        <v>50.387417245432403</v>
      </c>
      <c r="D78" s="340">
        <f>IF(Select2=1,Garden!$J82,"")</f>
        <v>0</v>
      </c>
      <c r="E78" s="340">
        <f>IF(Select2=1,Paper!$J82,"")</f>
        <v>76.662359722145879</v>
      </c>
      <c r="F78" s="340">
        <f>IF(Select2=1,Wood!$J82,"")</f>
        <v>33.122905181823725</v>
      </c>
      <c r="G78" s="340">
        <f>IF(Select2=1,Textiles!$J82,"")</f>
        <v>15.028570938762835</v>
      </c>
      <c r="H78" s="341">
        <f>IF(Select2=1,Nappies!$J82,"")</f>
        <v>0</v>
      </c>
      <c r="I78" s="342">
        <f>Sludge!$J82</f>
        <v>0</v>
      </c>
      <c r="J78" s="342" t="str">
        <f>IF(Select2=2,MSW!$J82,"")</f>
        <v/>
      </c>
      <c r="K78" s="342">
        <f>Industry!$J82</f>
        <v>0</v>
      </c>
      <c r="L78" s="343">
        <f t="shared" si="1"/>
        <v>175.20125308816486</v>
      </c>
      <c r="M78" s="344">
        <f>Recovery_OX!C75</f>
        <v>24.2</v>
      </c>
      <c r="N78" s="291"/>
      <c r="O78" s="345">
        <f>(L78-M78)*(1-Recovery_OX!F75)</f>
        <v>135.9011277793484</v>
      </c>
    </row>
    <row r="79" spans="2:15" x14ac:dyDescent="0.25">
      <c r="B79" s="338">
        <f t="shared" si="0"/>
        <v>2014</v>
      </c>
      <c r="C79" s="339">
        <f>IF(Select2=1,Food!$J83,"")</f>
        <v>50.029363859305064</v>
      </c>
      <c r="D79" s="340">
        <f>IF(Select2=1,Garden!$J83,"")</f>
        <v>0</v>
      </c>
      <c r="E79" s="340">
        <f>IF(Select2=1,Paper!$J83,"")</f>
        <v>75.624484926446655</v>
      </c>
      <c r="F79" s="340">
        <f>IF(Select2=1,Wood!$J83,"")</f>
        <v>33.662878193820617</v>
      </c>
      <c r="G79" s="340">
        <f>IF(Select2=1,Textiles!$J83,"")</f>
        <v>15.181353144357395</v>
      </c>
      <c r="H79" s="341">
        <f>IF(Select2=1,Nappies!$J83,"")</f>
        <v>0</v>
      </c>
      <c r="I79" s="342">
        <f>Sludge!$J83</f>
        <v>0</v>
      </c>
      <c r="J79" s="342" t="str">
        <f>IF(Select2=2,MSW!$J83,"")</f>
        <v/>
      </c>
      <c r="K79" s="342">
        <f>Industry!$J83</f>
        <v>0</v>
      </c>
      <c r="L79" s="343">
        <f t="shared" si="1"/>
        <v>174.49808012392973</v>
      </c>
      <c r="M79" s="344">
        <f>Recovery_OX!C76</f>
        <v>25.7</v>
      </c>
      <c r="N79" s="291"/>
      <c r="O79" s="345">
        <f>(L79-M79)*(1-Recovery_OX!F76)</f>
        <v>133.91827211153677</v>
      </c>
    </row>
    <row r="80" spans="2:15" x14ac:dyDescent="0.25">
      <c r="B80" s="338">
        <f t="shared" ref="B80:B105" si="2">B79+1</f>
        <v>2015</v>
      </c>
      <c r="C80" s="339">
        <f>IF(Select2=1,Food!$J84,"")</f>
        <v>49.456729037714247</v>
      </c>
      <c r="D80" s="340">
        <f>IF(Select2=1,Garden!$J84,"")</f>
        <v>0</v>
      </c>
      <c r="E80" s="340">
        <f>IF(Select2=1,Paper!$J84,"")</f>
        <v>74.531437546790286</v>
      </c>
      <c r="F80" s="340">
        <f>IF(Select2=1,Wood!$J84,"")</f>
        <v>34.135644614742446</v>
      </c>
      <c r="G80" s="340">
        <f>IF(Select2=1,Textiles!$J84,"")</f>
        <v>15.290553894919366</v>
      </c>
      <c r="H80" s="341">
        <f>IF(Select2=1,Nappies!$J84,"")</f>
        <v>0</v>
      </c>
      <c r="I80" s="342">
        <f>Sludge!$J84</f>
        <v>0</v>
      </c>
      <c r="J80" s="342" t="str">
        <f>IF(Select2=2,MSW!$J84,"")</f>
        <v/>
      </c>
      <c r="K80" s="342">
        <f>Industry!$J84</f>
        <v>0</v>
      </c>
      <c r="L80" s="343">
        <f t="shared" ref="L80:L105" si="3">SUM(C80:K80)</f>
        <v>173.41436509416633</v>
      </c>
      <c r="M80" s="344">
        <f>Recovery_OX!C77</f>
        <v>22.7</v>
      </c>
      <c r="N80" s="291"/>
      <c r="O80" s="345">
        <f>(L80-M80)*(1-Recovery_OX!F77)</f>
        <v>135.64292858474971</v>
      </c>
    </row>
    <row r="81" spans="2:15" x14ac:dyDescent="0.25">
      <c r="B81" s="338">
        <f t="shared" si="2"/>
        <v>2016</v>
      </c>
      <c r="C81" s="339">
        <f>IF(Select2=1,Food!$J85,"")</f>
        <v>48.623823353971268</v>
      </c>
      <c r="D81" s="340">
        <f>IF(Select2=1,Garden!$J85,"")</f>
        <v>0</v>
      </c>
      <c r="E81" s="340">
        <f>IF(Select2=1,Paper!$J85,"")</f>
        <v>73.351992458917238</v>
      </c>
      <c r="F81" s="340">
        <f>IF(Select2=1,Wood!$J85,"")</f>
        <v>34.527925344736822</v>
      </c>
      <c r="G81" s="340">
        <f>IF(Select2=1,Textiles!$J85,"")</f>
        <v>15.34837973918377</v>
      </c>
      <c r="H81" s="341">
        <f>IF(Select2=1,Nappies!$J85,"")</f>
        <v>0</v>
      </c>
      <c r="I81" s="342">
        <f>Sludge!$J85</f>
        <v>0</v>
      </c>
      <c r="J81" s="342" t="str">
        <f>IF(Select2=2,MSW!$J85,"")</f>
        <v/>
      </c>
      <c r="K81" s="342">
        <f>Industry!$J85</f>
        <v>0</v>
      </c>
      <c r="L81" s="343">
        <f t="shared" si="3"/>
        <v>171.85212089680908</v>
      </c>
      <c r="M81" s="344">
        <f>Recovery_OX!C78</f>
        <v>23</v>
      </c>
      <c r="N81" s="291"/>
      <c r="O81" s="345">
        <f>(L81-M81)*(1-Recovery_OX!F78)</f>
        <v>133.96690880712819</v>
      </c>
    </row>
    <row r="82" spans="2:15" x14ac:dyDescent="0.25">
      <c r="B82" s="338">
        <f t="shared" si="2"/>
        <v>2017</v>
      </c>
      <c r="C82" s="339">
        <f>IF(Select2=1,Food!$J86,"")</f>
        <v>47.723837474127102</v>
      </c>
      <c r="D82" s="340">
        <f>IF(Select2=1,Garden!$J86,"")</f>
        <v>0</v>
      </c>
      <c r="E82" s="340">
        <f>IF(Select2=1,Paper!$J86,"")</f>
        <v>72.153907659248489</v>
      </c>
      <c r="F82" s="340">
        <f>IF(Select2=1,Wood!$J86,"")</f>
        <v>34.869903848830219</v>
      </c>
      <c r="G82" s="340">
        <f>IF(Select2=1,Textiles!$J86,"")</f>
        <v>15.376640494456625</v>
      </c>
      <c r="H82" s="341">
        <f>IF(Select2=1,Nappies!$J86,"")</f>
        <v>0</v>
      </c>
      <c r="I82" s="342">
        <f>Sludge!$J86</f>
        <v>0</v>
      </c>
      <c r="J82" s="342" t="str">
        <f>IF(Select2=2,MSW!$J86,"")</f>
        <v/>
      </c>
      <c r="K82" s="342">
        <f>Industry!$J86</f>
        <v>0</v>
      </c>
      <c r="L82" s="343">
        <f t="shared" ref="L82:L105" si="4">SUM(C82:K82)</f>
        <v>170.12428947666245</v>
      </c>
      <c r="M82" s="344">
        <f>Recovery_OX!C79</f>
        <v>23</v>
      </c>
      <c r="N82" s="291"/>
      <c r="O82" s="345">
        <f>(L82-M82)*(1-Recovery_OX!F79)</f>
        <v>132.41186052899621</v>
      </c>
    </row>
    <row r="83" spans="2:15" x14ac:dyDescent="0.25">
      <c r="B83" s="338">
        <f t="shared" si="2"/>
        <v>2018</v>
      </c>
      <c r="C83" s="339">
        <f>IF(Select2=1,Food!$J87,"")</f>
        <v>46.97585535398219</v>
      </c>
      <c r="D83" s="340">
        <f>IF(Select2=1,Garden!$J87,"")</f>
        <v>0</v>
      </c>
      <c r="E83" s="340">
        <f>IF(Select2=1,Paper!$J87,"")</f>
        <v>71.025593886694068</v>
      </c>
      <c r="F83" s="340">
        <f>IF(Select2=1,Wood!$J87,"")</f>
        <v>35.201775360697269</v>
      </c>
      <c r="G83" s="340">
        <f>IF(Select2=1,Textiles!$J87,"")</f>
        <v>15.403255471464904</v>
      </c>
      <c r="H83" s="341">
        <f>IF(Select2=1,Nappies!$J87,"")</f>
        <v>0</v>
      </c>
      <c r="I83" s="342">
        <f>Sludge!$J87</f>
        <v>0</v>
      </c>
      <c r="J83" s="342" t="str">
        <f>IF(Select2=2,MSW!$J87,"")</f>
        <v/>
      </c>
      <c r="K83" s="342">
        <f>Industry!$J87</f>
        <v>0</v>
      </c>
      <c r="L83" s="343">
        <f t="shared" si="4"/>
        <v>168.60648007283845</v>
      </c>
      <c r="M83" s="344">
        <f>Recovery_OX!C80</f>
        <v>23</v>
      </c>
      <c r="N83" s="291"/>
      <c r="O83" s="345">
        <f>(L83-M83)*(1-Recovery_OX!F80)</f>
        <v>131.04583206555461</v>
      </c>
    </row>
    <row r="84" spans="2:15" x14ac:dyDescent="0.25">
      <c r="B84" s="338">
        <f t="shared" si="2"/>
        <v>2019</v>
      </c>
      <c r="C84" s="339">
        <f>IF(Select2=1,Food!$J88,"")</f>
        <v>46.354204209684951</v>
      </c>
      <c r="D84" s="340">
        <f>IF(Select2=1,Garden!$J88,"")</f>
        <v>0</v>
      </c>
      <c r="E84" s="340">
        <f>IF(Select2=1,Paper!$J88,"")</f>
        <v>69.962987992947674</v>
      </c>
      <c r="F84" s="340">
        <f>IF(Select2=1,Wood!$J88,"")</f>
        <v>35.523838587100627</v>
      </c>
      <c r="G84" s="340">
        <f>IF(Select2=1,Textiles!$J88,"")</f>
        <v>15.428320512873462</v>
      </c>
      <c r="H84" s="341">
        <f>IF(Select2=1,Nappies!$J88,"")</f>
        <v>0</v>
      </c>
      <c r="I84" s="342">
        <f>Sludge!$J88</f>
        <v>0</v>
      </c>
      <c r="J84" s="342" t="str">
        <f>IF(Select2=2,MSW!$J88,"")</f>
        <v/>
      </c>
      <c r="K84" s="342">
        <f>Industry!$J88</f>
        <v>0</v>
      </c>
      <c r="L84" s="343">
        <f t="shared" si="4"/>
        <v>167.26935130260671</v>
      </c>
      <c r="M84" s="344">
        <f>Recovery_OX!C81</f>
        <v>23</v>
      </c>
      <c r="N84" s="291"/>
      <c r="O84" s="345">
        <f>(L84-M84)*(1-Recovery_OX!F81)</f>
        <v>129.84241617234605</v>
      </c>
    </row>
    <row r="85" spans="2:15" x14ac:dyDescent="0.25">
      <c r="B85" s="338">
        <f t="shared" si="2"/>
        <v>2020</v>
      </c>
      <c r="C85" s="339">
        <f>IF(Select2=1,Food!$J89,"")</f>
        <v>45.837547280597946</v>
      </c>
      <c r="D85" s="340">
        <f>IF(Select2=1,Garden!$J89,"")</f>
        <v>0</v>
      </c>
      <c r="E85" s="340">
        <f>IF(Select2=1,Paper!$J89,"")</f>
        <v>68.962263449039725</v>
      </c>
      <c r="F85" s="340">
        <f>IF(Select2=1,Wood!$J89,"")</f>
        <v>35.836383406683993</v>
      </c>
      <c r="G85" s="340">
        <f>IF(Select2=1,Textiles!$J89,"")</f>
        <v>15.451925879904865</v>
      </c>
      <c r="H85" s="341">
        <f>IF(Select2=1,Nappies!$J89,"")</f>
        <v>0</v>
      </c>
      <c r="I85" s="342">
        <f>Sludge!$J89</f>
        <v>0</v>
      </c>
      <c r="J85" s="342" t="str">
        <f>IF(Select2=2,MSW!$J89,"")</f>
        <v/>
      </c>
      <c r="K85" s="342">
        <f>Industry!$J89</f>
        <v>0</v>
      </c>
      <c r="L85" s="343">
        <f t="shared" si="4"/>
        <v>166.08812001622653</v>
      </c>
      <c r="M85" s="344">
        <f>Recovery_OX!C82</f>
        <v>23</v>
      </c>
      <c r="N85" s="291"/>
      <c r="O85" s="345">
        <f>(L85-M85)*(1-Recovery_OX!F82)</f>
        <v>128.77930801460388</v>
      </c>
    </row>
    <row r="86" spans="2:15" x14ac:dyDescent="0.25">
      <c r="B86" s="338">
        <f t="shared" si="2"/>
        <v>2021</v>
      </c>
      <c r="C86" s="339">
        <f>IF(Select2=1,Food!$J90,"")</f>
        <v>45.408151493551856</v>
      </c>
      <c r="D86" s="340">
        <f>IF(Select2=1,Garden!$J90,"")</f>
        <v>0</v>
      </c>
      <c r="E86" s="340">
        <f>IF(Select2=1,Paper!$J90,"")</f>
        <v>68.019816565699955</v>
      </c>
      <c r="F86" s="340">
        <f>IF(Select2=1,Wood!$J90,"")</f>
        <v>36.139691130882397</v>
      </c>
      <c r="G86" s="340">
        <f>IF(Select2=1,Textiles!$J90,"")</f>
        <v>15.474156577377276</v>
      </c>
      <c r="H86" s="341">
        <f>IF(Select2=1,Nappies!$J90,"")</f>
        <v>0</v>
      </c>
      <c r="I86" s="342">
        <f>Sludge!$J90</f>
        <v>0</v>
      </c>
      <c r="J86" s="342" t="str">
        <f>IF(Select2=2,MSW!$J90,"")</f>
        <v/>
      </c>
      <c r="K86" s="342">
        <f>Industry!$J90</f>
        <v>0</v>
      </c>
      <c r="L86" s="343">
        <f t="shared" si="4"/>
        <v>165.04181576751148</v>
      </c>
      <c r="M86" s="344">
        <f>Recovery_OX!C83</f>
        <v>23</v>
      </c>
      <c r="N86" s="291"/>
      <c r="O86" s="345">
        <f>(L86-M86)*(1-Recovery_OX!F83)</f>
        <v>127.83763419076034</v>
      </c>
    </row>
    <row r="87" spans="2:15" x14ac:dyDescent="0.25">
      <c r="B87" s="338">
        <f t="shared" si="2"/>
        <v>2022</v>
      </c>
      <c r="C87" s="339">
        <f>IF(Select2=1,Food!$J91,"")</f>
        <v>45.051278815469779</v>
      </c>
      <c r="D87" s="340">
        <f>IF(Select2=1,Garden!$J91,"")</f>
        <v>0</v>
      </c>
      <c r="E87" s="340">
        <f>IF(Select2=1,Paper!$J91,"")</f>
        <v>67.132253516183525</v>
      </c>
      <c r="F87" s="340">
        <f>IF(Select2=1,Wood!$J91,"")</f>
        <v>36.434034757121509</v>
      </c>
      <c r="G87" s="340">
        <f>IF(Select2=1,Textiles!$J91,"")</f>
        <v>15.495092659813633</v>
      </c>
      <c r="H87" s="341">
        <f>IF(Select2=1,Nappies!$J91,"")</f>
        <v>0</v>
      </c>
      <c r="I87" s="342">
        <f>Sludge!$J91</f>
        <v>0</v>
      </c>
      <c r="J87" s="342" t="str">
        <f>IF(Select2=2,MSW!$J91,"")</f>
        <v/>
      </c>
      <c r="K87" s="342">
        <f>Industry!$J91</f>
        <v>0</v>
      </c>
      <c r="L87" s="343">
        <f t="shared" si="4"/>
        <v>164.11265974858844</v>
      </c>
      <c r="M87" s="344">
        <f>Recovery_OX!C84</f>
        <v>23</v>
      </c>
      <c r="N87" s="291"/>
      <c r="O87" s="345">
        <f>(L87-M87)*(1-Recovery_OX!F84)</f>
        <v>127.0013937737296</v>
      </c>
    </row>
    <row r="88" spans="2:15" x14ac:dyDescent="0.25">
      <c r="B88" s="338">
        <f t="shared" si="2"/>
        <v>2023</v>
      </c>
      <c r="C88" s="339">
        <f>IF(Select2=1,Food!$J92,"")</f>
        <v>44.754680403925995</v>
      </c>
      <c r="D88" s="340">
        <f>IF(Select2=1,Garden!$J92,"")</f>
        <v>0</v>
      </c>
      <c r="E88" s="340">
        <f>IF(Select2=1,Paper!$J92,"")</f>
        <v>66.296378114829082</v>
      </c>
      <c r="F88" s="340">
        <f>IF(Select2=1,Wood!$J92,"")</f>
        <v>36.719679214533713</v>
      </c>
      <c r="G88" s="340">
        <f>IF(Select2=1,Textiles!$J92,"")</f>
        <v>15.514809519724395</v>
      </c>
      <c r="H88" s="341">
        <f>IF(Select2=1,Nappies!$J92,"")</f>
        <v>0</v>
      </c>
      <c r="I88" s="342">
        <f>Sludge!$J92</f>
        <v>0</v>
      </c>
      <c r="J88" s="342" t="str">
        <f>IF(Select2=2,MSW!$J92,"")</f>
        <v/>
      </c>
      <c r="K88" s="342">
        <f>Industry!$J92</f>
        <v>0</v>
      </c>
      <c r="L88" s="343">
        <f t="shared" si="4"/>
        <v>163.28554725301319</v>
      </c>
      <c r="M88" s="344">
        <f>Recovery_OX!C85</f>
        <v>23</v>
      </c>
      <c r="N88" s="291"/>
      <c r="O88" s="345">
        <f>(L88-M88)*(1-Recovery_OX!F85)</f>
        <v>126.25699252771187</v>
      </c>
    </row>
    <row r="89" spans="2:15" x14ac:dyDescent="0.25">
      <c r="B89" s="338">
        <f t="shared" si="2"/>
        <v>2024</v>
      </c>
      <c r="C89" s="339">
        <f>IF(Select2=1,Food!$J93,"")</f>
        <v>44.50817619350822</v>
      </c>
      <c r="D89" s="340">
        <f>IF(Select2=1,Garden!$J93,"")</f>
        <v>0</v>
      </c>
      <c r="E89" s="340">
        <f>IF(Select2=1,Paper!$J93,"")</f>
        <v>65.509180307337971</v>
      </c>
      <c r="F89" s="340">
        <f>IF(Select2=1,Wood!$J93,"")</f>
        <v>36.99688160241228</v>
      </c>
      <c r="G89" s="340">
        <f>IF(Select2=1,Textiles!$J93,"")</f>
        <v>15.533378159102</v>
      </c>
      <c r="H89" s="341">
        <f>IF(Select2=1,Nappies!$J93,"")</f>
        <v>0</v>
      </c>
      <c r="I89" s="342">
        <f>Sludge!$J93</f>
        <v>0</v>
      </c>
      <c r="J89" s="342" t="str">
        <f>IF(Select2=2,MSW!$J93,"")</f>
        <v/>
      </c>
      <c r="K89" s="342">
        <f>Industry!$J93</f>
        <v>0</v>
      </c>
      <c r="L89" s="343">
        <f t="shared" si="4"/>
        <v>162.54761626236046</v>
      </c>
      <c r="M89" s="344">
        <f>Recovery_OX!C86</f>
        <v>23</v>
      </c>
      <c r="N89" s="291"/>
      <c r="O89" s="345">
        <f>(L89-M89)*(1-Recovery_OX!F86)</f>
        <v>125.59285463612441</v>
      </c>
    </row>
    <row r="90" spans="2:15" x14ac:dyDescent="0.25">
      <c r="B90" s="338">
        <f t="shared" si="2"/>
        <v>2025</v>
      </c>
      <c r="C90" s="339">
        <f>IF(Select2=1,Food!$J94,"")</f>
        <v>44.30330548824243</v>
      </c>
      <c r="D90" s="340">
        <f>IF(Select2=1,Garden!$J94,"")</f>
        <v>0</v>
      </c>
      <c r="E90" s="340">
        <f>IF(Select2=1,Paper!$J94,"")</f>
        <v>64.767825331327558</v>
      </c>
      <c r="F90" s="340">
        <f>IF(Select2=1,Wood!$J94,"")</f>
        <v>37.265891421618022</v>
      </c>
      <c r="G90" s="340">
        <f>IF(Select2=1,Textiles!$J94,"")</f>
        <v>15.550865445104741</v>
      </c>
      <c r="H90" s="341">
        <f>IF(Select2=1,Nappies!$J94,"")</f>
        <v>0</v>
      </c>
      <c r="I90" s="342">
        <f>Sludge!$J94</f>
        <v>0</v>
      </c>
      <c r="J90" s="342" t="str">
        <f>IF(Select2=2,MSW!$J94,"")</f>
        <v/>
      </c>
      <c r="K90" s="342">
        <f>Industry!$J94</f>
        <v>0</v>
      </c>
      <c r="L90" s="343">
        <f t="shared" si="4"/>
        <v>161.88788768629274</v>
      </c>
      <c r="M90" s="344">
        <f>Recovery_OX!C87</f>
        <v>23</v>
      </c>
      <c r="N90" s="291"/>
      <c r="O90" s="345">
        <f>(L90-M90)*(1-Recovery_OX!F87)</f>
        <v>124.99909891766347</v>
      </c>
    </row>
    <row r="91" spans="2:15" x14ac:dyDescent="0.25">
      <c r="B91" s="338">
        <f t="shared" si="2"/>
        <v>2026</v>
      </c>
      <c r="C91" s="339">
        <f>IF(Select2=1,Food!$J95,"")</f>
        <v>44.133036567460223</v>
      </c>
      <c r="D91" s="340">
        <f>IF(Select2=1,Garden!$J95,"")</f>
        <v>0</v>
      </c>
      <c r="E91" s="340">
        <f>IF(Select2=1,Paper!$J95,"")</f>
        <v>64.069643508124756</v>
      </c>
      <c r="F91" s="340">
        <f>IF(Select2=1,Wood!$J95,"")</f>
        <v>37.526950799146917</v>
      </c>
      <c r="G91" s="340">
        <f>IF(Select2=1,Textiles!$J95,"")</f>
        <v>15.567334350850764</v>
      </c>
      <c r="H91" s="341">
        <f>IF(Select2=1,Nappies!$J95,"")</f>
        <v>0</v>
      </c>
      <c r="I91" s="342">
        <f>Sludge!$J95</f>
        <v>0</v>
      </c>
      <c r="J91" s="342" t="str">
        <f>IF(Select2=2,MSW!$J95,"")</f>
        <v/>
      </c>
      <c r="K91" s="342">
        <f>Industry!$J95</f>
        <v>0</v>
      </c>
      <c r="L91" s="343">
        <f t="shared" si="4"/>
        <v>161.29696522558265</v>
      </c>
      <c r="M91" s="344">
        <f>Recovery_OX!C88</f>
        <v>23</v>
      </c>
      <c r="N91" s="291"/>
      <c r="O91" s="345">
        <f>(L91-M91)*(1-Recovery_OX!F88)</f>
        <v>124.46726870302439</v>
      </c>
    </row>
    <row r="92" spans="2:15" x14ac:dyDescent="0.25">
      <c r="B92" s="338">
        <f t="shared" si="2"/>
        <v>2027</v>
      </c>
      <c r="C92" s="339">
        <f>IF(Select2=1,Food!$J96,"")</f>
        <v>43.991525337991234</v>
      </c>
      <c r="D92" s="340">
        <f>IF(Select2=1,Garden!$J96,"")</f>
        <v>0</v>
      </c>
      <c r="E92" s="340">
        <f>IF(Select2=1,Paper!$J96,"")</f>
        <v>63.412120629039165</v>
      </c>
      <c r="F92" s="340">
        <f>IF(Select2=1,Wood!$J96,"")</f>
        <v>37.780294706060786</v>
      </c>
      <c r="G92" s="340">
        <f>IF(Select2=1,Textiles!$J96,"")</f>
        <v>15.582844182189314</v>
      </c>
      <c r="H92" s="341">
        <f>IF(Select2=1,Nappies!$J96,"")</f>
        <v>0</v>
      </c>
      <c r="I92" s="342">
        <f>Sludge!$J96</f>
        <v>0</v>
      </c>
      <c r="J92" s="342" t="str">
        <f>IF(Select2=2,MSW!$J96,"")</f>
        <v/>
      </c>
      <c r="K92" s="342">
        <f>Industry!$J96</f>
        <v>0</v>
      </c>
      <c r="L92" s="343">
        <f t="shared" si="4"/>
        <v>160.76678485528049</v>
      </c>
      <c r="M92" s="344">
        <f>Recovery_OX!C89</f>
        <v>23</v>
      </c>
      <c r="N92" s="291"/>
      <c r="O92" s="345">
        <f>(L92-M92)*(1-Recovery_OX!F89)</f>
        <v>123.99010636975244</v>
      </c>
    </row>
    <row r="93" spans="2:15" x14ac:dyDescent="0.25">
      <c r="B93" s="338">
        <f t="shared" si="2"/>
        <v>2028</v>
      </c>
      <c r="C93" s="339">
        <f>IF(Select2=1,Food!$J97,"")</f>
        <v>43.873914748966399</v>
      </c>
      <c r="D93" s="340">
        <f>IF(Select2=1,Garden!$J97,"")</f>
        <v>0</v>
      </c>
      <c r="E93" s="340">
        <f>IF(Select2=1,Paper!$J97,"")</f>
        <v>62.792888901496156</v>
      </c>
      <c r="F93" s="340">
        <f>IF(Select2=1,Wood!$J97,"")</f>
        <v>38.02615116897708</v>
      </c>
      <c r="G93" s="340">
        <f>IF(Select2=1,Textiles!$J97,"")</f>
        <v>15.597450791265835</v>
      </c>
      <c r="H93" s="341">
        <f>IF(Select2=1,Nappies!$J97,"")</f>
        <v>0</v>
      </c>
      <c r="I93" s="342">
        <f>Sludge!$J97</f>
        <v>0</v>
      </c>
      <c r="J93" s="342" t="str">
        <f>IF(Select2=2,MSW!$J97,"")</f>
        <v/>
      </c>
      <c r="K93" s="342">
        <f>Industry!$J97</f>
        <v>0</v>
      </c>
      <c r="L93" s="343">
        <f t="shared" si="4"/>
        <v>160.29040561070548</v>
      </c>
      <c r="M93" s="344">
        <f>Recovery_OX!C90</f>
        <v>23</v>
      </c>
      <c r="N93" s="291"/>
      <c r="O93" s="345">
        <f>(L93-M93)*(1-Recovery_OX!F90)</f>
        <v>123.56136504963493</v>
      </c>
    </row>
    <row r="94" spans="2:15" x14ac:dyDescent="0.25">
      <c r="B94" s="338">
        <f t="shared" si="2"/>
        <v>2029</v>
      </c>
      <c r="C94" s="339">
        <f>IF(Select2=1,Food!$J98,"")</f>
        <v>43.776168084601466</v>
      </c>
      <c r="D94" s="340">
        <f>IF(Select2=1,Garden!$J98,"")</f>
        <v>0</v>
      </c>
      <c r="E94" s="340">
        <f>IF(Select2=1,Paper!$J98,"")</f>
        <v>62.209718422426036</v>
      </c>
      <c r="F94" s="340">
        <f>IF(Select2=1,Wood!$J98,"")</f>
        <v>38.264741475308234</v>
      </c>
      <c r="G94" s="340">
        <f>IF(Select2=1,Textiles!$J98,"")</f>
        <v>15.611206777650027</v>
      </c>
      <c r="H94" s="341">
        <f>IF(Select2=1,Nappies!$J98,"")</f>
        <v>0</v>
      </c>
      <c r="I94" s="342">
        <f>Sludge!$J98</f>
        <v>0</v>
      </c>
      <c r="J94" s="342" t="str">
        <f>IF(Select2=2,MSW!$J98,"")</f>
        <v/>
      </c>
      <c r="K94" s="342">
        <f>Industry!$J98</f>
        <v>0</v>
      </c>
      <c r="L94" s="343">
        <f t="shared" si="4"/>
        <v>159.86183475998578</v>
      </c>
      <c r="M94" s="344">
        <f>Recovery_OX!C91</f>
        <v>23</v>
      </c>
      <c r="N94" s="291"/>
      <c r="O94" s="345">
        <f>(L94-M94)*(1-Recovery_OX!F91)</f>
        <v>123.17565128398721</v>
      </c>
    </row>
    <row r="95" spans="2:15" x14ac:dyDescent="0.25">
      <c r="B95" s="338">
        <f t="shared" si="2"/>
        <v>2030</v>
      </c>
      <c r="C95" s="339">
        <f>IF(Select2=1,Food!$J99,"")</f>
        <v>43.694930413115529</v>
      </c>
      <c r="D95" s="340">
        <f>IF(Select2=1,Garden!$J99,"")</f>
        <v>0</v>
      </c>
      <c r="E95" s="340">
        <f>IF(Select2=1,Paper!$J99,"")</f>
        <v>61.660509148204468</v>
      </c>
      <c r="F95" s="340">
        <f>IF(Select2=1,Wood!$J99,"")</f>
        <v>38.49628037243528</v>
      </c>
      <c r="G95" s="340">
        <f>IF(Select2=1,Textiles!$J99,"")</f>
        <v>15.624161677751134</v>
      </c>
      <c r="H95" s="341">
        <f>IF(Select2=1,Nappies!$J99,"")</f>
        <v>0</v>
      </c>
      <c r="I95" s="342">
        <f>Sludge!$J99</f>
        <v>0</v>
      </c>
      <c r="J95" s="342" t="str">
        <f>IF(Select2=2,MSW!$J99,"")</f>
        <v/>
      </c>
      <c r="K95" s="342">
        <f>Industry!$J99</f>
        <v>0</v>
      </c>
      <c r="L95" s="343">
        <f t="shared" si="4"/>
        <v>159.47588161150642</v>
      </c>
      <c r="M95" s="344">
        <f>Recovery_OX!C92</f>
        <v>23</v>
      </c>
      <c r="N95" s="291"/>
      <c r="O95" s="345">
        <f>(L95-M95)*(1-Recovery_OX!F92)</f>
        <v>122.82829345035579</v>
      </c>
    </row>
    <row r="96" spans="2:15" x14ac:dyDescent="0.25">
      <c r="B96" s="338">
        <f t="shared" si="2"/>
        <v>2031</v>
      </c>
      <c r="C96" s="339">
        <f>IF(Select2=1,Food!$J100,"")</f>
        <v>43.627413436333384</v>
      </c>
      <c r="D96" s="340">
        <f>IF(Select2=1,Garden!$J100,"")</f>
        <v>0</v>
      </c>
      <c r="E96" s="340">
        <f>IF(Select2=1,Paper!$J100,"")</f>
        <v>61.14328333222705</v>
      </c>
      <c r="F96" s="340">
        <f>IF(Select2=1,Wood!$J100,"")</f>
        <v>38.720976260994959</v>
      </c>
      <c r="G96" s="340">
        <f>IF(Select2=1,Textiles!$J100,"")</f>
        <v>15.636362143202479</v>
      </c>
      <c r="H96" s="341">
        <f>IF(Select2=1,Nappies!$J100,"")</f>
        <v>0</v>
      </c>
      <c r="I96" s="342">
        <f>Sludge!$J100</f>
        <v>0</v>
      </c>
      <c r="J96" s="342" t="str">
        <f>IF(Select2=2,MSW!$J100,"")</f>
        <v/>
      </c>
      <c r="K96" s="342">
        <f>Industry!$J100</f>
        <v>0</v>
      </c>
      <c r="L96" s="343">
        <f t="shared" si="4"/>
        <v>159.12803517275788</v>
      </c>
      <c r="M96" s="344">
        <f>Recovery_OX!C93</f>
        <v>23</v>
      </c>
      <c r="N96" s="291"/>
      <c r="O96" s="345">
        <f>(L96-M96)*(1-Recovery_OX!F93)</f>
        <v>122.5152316554821</v>
      </c>
    </row>
    <row r="97" spans="2:15" x14ac:dyDescent="0.25">
      <c r="B97" s="338">
        <f t="shared" si="2"/>
        <v>2032</v>
      </c>
      <c r="C97" s="339">
        <f>IF(Select2=1,Food!$J101,"")</f>
        <v>43.571299787697008</v>
      </c>
      <c r="D97" s="340">
        <f>IF(Select2=1,Garden!$J101,"")</f>
        <v>0</v>
      </c>
      <c r="E97" s="340">
        <f>IF(Select2=1,Paper!$J101,"")</f>
        <v>60.656178402885338</v>
      </c>
      <c r="F97" s="340">
        <f>IF(Select2=1,Wood!$J101,"")</f>
        <v>38.939031382454409</v>
      </c>
      <c r="G97" s="340">
        <f>IF(Select2=1,Textiles!$J101,"")</f>
        <v>15.647852108857778</v>
      </c>
      <c r="H97" s="341">
        <f>IF(Select2=1,Nappies!$J101,"")</f>
        <v>0</v>
      </c>
      <c r="I97" s="342">
        <f>Sludge!$J101</f>
        <v>0</v>
      </c>
      <c r="J97" s="342" t="str">
        <f>IF(Select2=2,MSW!$J101,"")</f>
        <v/>
      </c>
      <c r="K97" s="342">
        <f>Industry!$J101</f>
        <v>0</v>
      </c>
      <c r="L97" s="343">
        <f t="shared" si="4"/>
        <v>158.81436168189455</v>
      </c>
      <c r="M97" s="344">
        <f>Recovery_OX!C94</f>
        <v>23</v>
      </c>
      <c r="N97" s="291"/>
      <c r="O97" s="345">
        <f>(L97-M97)*(1-Recovery_OX!F94)</f>
        <v>122.2329255137051</v>
      </c>
    </row>
    <row r="98" spans="2:15" x14ac:dyDescent="0.25">
      <c r="B98" s="338">
        <f t="shared" si="2"/>
        <v>2033</v>
      </c>
      <c r="C98" s="339">
        <f>IF(Select2=1,Food!$J102,"")</f>
        <v>43.524663493932742</v>
      </c>
      <c r="D98" s="340">
        <f>IF(Select2=1,Garden!$J102,"")</f>
        <v>0</v>
      </c>
      <c r="E98" s="340">
        <f>IF(Select2=1,Paper!$J102,"")</f>
        <v>60.197440256297263</v>
      </c>
      <c r="F98" s="340">
        <f>IF(Select2=1,Wood!$J102,"")</f>
        <v>39.150642001142124</v>
      </c>
      <c r="G98" s="340">
        <f>IF(Select2=1,Textiles!$J102,"")</f>
        <v>15.658672951004037</v>
      </c>
      <c r="H98" s="341">
        <f>IF(Select2=1,Nappies!$J102,"")</f>
        <v>0</v>
      </c>
      <c r="I98" s="342">
        <f>Sludge!$J102</f>
        <v>0</v>
      </c>
      <c r="J98" s="342" t="str">
        <f>IF(Select2=2,MSW!$J102,"")</f>
        <v/>
      </c>
      <c r="K98" s="342">
        <f>Industry!$J102</f>
        <v>0</v>
      </c>
      <c r="L98" s="343">
        <f t="shared" si="4"/>
        <v>158.53141870237616</v>
      </c>
      <c r="M98" s="344">
        <f>Recovery_OX!C95</f>
        <v>23</v>
      </c>
      <c r="N98" s="291"/>
      <c r="O98" s="345">
        <f>(L98-M98)*(1-Recovery_OX!F95)</f>
        <v>121.97827683213855</v>
      </c>
    </row>
    <row r="99" spans="2:15" x14ac:dyDescent="0.25">
      <c r="B99" s="338">
        <f t="shared" si="2"/>
        <v>2034</v>
      </c>
      <c r="C99" s="339">
        <f>IF(Select2=1,Food!$J103,"")</f>
        <v>43.485903870402268</v>
      </c>
      <c r="D99" s="340">
        <f>IF(Select2=1,Garden!$J103,"")</f>
        <v>0</v>
      </c>
      <c r="E99" s="340">
        <f>IF(Select2=1,Paper!$J103,"")</f>
        <v>59.765416939638442</v>
      </c>
      <c r="F99" s="340">
        <f>IF(Select2=1,Wood!$J103,"")</f>
        <v>39.355998580899048</v>
      </c>
      <c r="G99" s="340">
        <f>IF(Select2=1,Textiles!$J103,"")</f>
        <v>15.6688636363609</v>
      </c>
      <c r="H99" s="341">
        <f>IF(Select2=1,Nappies!$J103,"")</f>
        <v>0</v>
      </c>
      <c r="I99" s="342">
        <f>Sludge!$J103</f>
        <v>0</v>
      </c>
      <c r="J99" s="342" t="str">
        <f>IF(Select2=2,MSW!$J103,"")</f>
        <v/>
      </c>
      <c r="K99" s="342">
        <f>Industry!$J103</f>
        <v>0</v>
      </c>
      <c r="L99" s="343">
        <f t="shared" si="4"/>
        <v>158.27618302730065</v>
      </c>
      <c r="M99" s="344">
        <f>Recovery_OX!C96</f>
        <v>23</v>
      </c>
      <c r="N99" s="291"/>
      <c r="O99" s="345">
        <f>(L99-M99)*(1-Recovery_OX!F96)</f>
        <v>121.74856472457058</v>
      </c>
    </row>
    <row r="100" spans="2:15" x14ac:dyDescent="0.25">
      <c r="B100" s="338">
        <f t="shared" si="2"/>
        <v>2035</v>
      </c>
      <c r="C100" s="339">
        <f>IF(Select2=1,Food!$J104,"")</f>
        <v>43.453690581245596</v>
      </c>
      <c r="D100" s="340">
        <f>IF(Select2=1,Garden!$J104,"")</f>
        <v>0</v>
      </c>
      <c r="E100" s="340">
        <f>IF(Select2=1,Paper!$J104,"")</f>
        <v>59.358552702327707</v>
      </c>
      <c r="F100" s="340">
        <f>IF(Select2=1,Wood!$J104,"")</f>
        <v>39.555285956508946</v>
      </c>
      <c r="G100" s="340">
        <f>IF(Select2=1,Textiles!$J104,"")</f>
        <v>15.678460862402909</v>
      </c>
      <c r="H100" s="341">
        <f>IF(Select2=1,Nappies!$J104,"")</f>
        <v>0</v>
      </c>
      <c r="I100" s="342">
        <f>Sludge!$J104</f>
        <v>0</v>
      </c>
      <c r="J100" s="342" t="str">
        <f>IF(Select2=2,MSW!$J104,"")</f>
        <v/>
      </c>
      <c r="K100" s="342">
        <f>Industry!$J104</f>
        <v>0</v>
      </c>
      <c r="L100" s="343">
        <f t="shared" si="4"/>
        <v>158.04599010248518</v>
      </c>
      <c r="M100" s="344">
        <f>Recovery_OX!C97</f>
        <v>23</v>
      </c>
      <c r="N100" s="291"/>
      <c r="O100" s="345">
        <f>(L100-M100)*(1-Recovery_OX!F97)</f>
        <v>121.54139109223667</v>
      </c>
    </row>
    <row r="101" spans="2:15" x14ac:dyDescent="0.25">
      <c r="B101" s="338">
        <f t="shared" si="2"/>
        <v>2036</v>
      </c>
      <c r="C101" s="339">
        <f>IF(Select2=1,Food!$J105,"")</f>
        <v>43.426917978630527</v>
      </c>
      <c r="D101" s="340">
        <f>IF(Select2=1,Garden!$J105,"")</f>
        <v>0</v>
      </c>
      <c r="E101" s="340">
        <f>IF(Select2=1,Paper!$J105,"")</f>
        <v>58.975382393644665</v>
      </c>
      <c r="F101" s="340">
        <f>IF(Select2=1,Wood!$J105,"")</f>
        <v>39.748683500062185</v>
      </c>
      <c r="G101" s="340">
        <f>IF(Select2=1,Textiles!$J105,"")</f>
        <v>15.687499189510065</v>
      </c>
      <c r="H101" s="341">
        <f>IF(Select2=1,Nappies!$J105,"")</f>
        <v>0</v>
      </c>
      <c r="I101" s="342">
        <f>Sludge!$J105</f>
        <v>0</v>
      </c>
      <c r="J101" s="342" t="str">
        <f>IF(Select2=2,MSW!$J105,"")</f>
        <v/>
      </c>
      <c r="K101" s="342">
        <f>Industry!$J105</f>
        <v>0</v>
      </c>
      <c r="L101" s="343">
        <f t="shared" si="4"/>
        <v>157.83848306184746</v>
      </c>
      <c r="M101" s="344">
        <f>Recovery_OX!C98</f>
        <v>23</v>
      </c>
      <c r="N101" s="291"/>
      <c r="O101" s="345">
        <f>(L101-M101)*(1-Recovery_OX!F98)</f>
        <v>121.35463475566272</v>
      </c>
    </row>
    <row r="102" spans="2:15" x14ac:dyDescent="0.25">
      <c r="B102" s="338">
        <f t="shared" si="2"/>
        <v>2037</v>
      </c>
      <c r="C102" s="339">
        <f>IF(Select2=1,Food!$J106,"")</f>
        <v>43.404667153907269</v>
      </c>
      <c r="D102" s="340">
        <f>IF(Select2=1,Garden!$J106,"")</f>
        <v>0</v>
      </c>
      <c r="E102" s="340">
        <f>IF(Select2=1,Paper!$J106,"")</f>
        <v>58.614526186604451</v>
      </c>
      <c r="F102" s="340">
        <f>IF(Select2=1,Wood!$J106,"")</f>
        <v>39.936365282402676</v>
      </c>
      <c r="G102" s="340">
        <f>IF(Select2=1,Textiles!$J106,"")</f>
        <v>15.696011165422519</v>
      </c>
      <c r="H102" s="341">
        <f>IF(Select2=1,Nappies!$J106,"")</f>
        <v>0</v>
      </c>
      <c r="I102" s="342">
        <f>Sludge!$J106</f>
        <v>0</v>
      </c>
      <c r="J102" s="342" t="str">
        <f>IF(Select2=2,MSW!$J106,"")</f>
        <v/>
      </c>
      <c r="K102" s="342">
        <f>Industry!$J106</f>
        <v>0</v>
      </c>
      <c r="L102" s="343">
        <f t="shared" si="4"/>
        <v>157.65156978833693</v>
      </c>
      <c r="M102" s="344">
        <f>Recovery_OX!C99</f>
        <v>23</v>
      </c>
      <c r="N102" s="291"/>
      <c r="O102" s="345">
        <f>(L102-M102)*(1-Recovery_OX!F99)</f>
        <v>121.18641280950324</v>
      </c>
    </row>
    <row r="103" spans="2:15" x14ac:dyDescent="0.25">
      <c r="B103" s="338">
        <f t="shared" si="2"/>
        <v>2038</v>
      </c>
      <c r="C103" s="339">
        <f>IF(Select2=1,Food!$J107,"")</f>
        <v>43.38617439816052</v>
      </c>
      <c r="D103" s="340">
        <f>IF(Select2=1,Garden!$J107,"")</f>
        <v>0</v>
      </c>
      <c r="E103" s="340">
        <f>IF(Select2=1,Paper!$J107,"")</f>
        <v>58.274684609090237</v>
      </c>
      <c r="F103" s="340">
        <f>IF(Select2=1,Wood!$J107,"")</f>
        <v>40.118500229803431</v>
      </c>
      <c r="G103" s="340">
        <f>IF(Select2=1,Textiles!$J107,"")</f>
        <v>15.704027442447586</v>
      </c>
      <c r="H103" s="341">
        <f>IF(Select2=1,Nappies!$J107,"")</f>
        <v>0</v>
      </c>
      <c r="I103" s="342">
        <f>Sludge!$J107</f>
        <v>0</v>
      </c>
      <c r="J103" s="342" t="str">
        <f>IF(Select2=2,MSW!$J107,"")</f>
        <v/>
      </c>
      <c r="K103" s="342">
        <f>Industry!$J107</f>
        <v>0</v>
      </c>
      <c r="L103" s="343">
        <f t="shared" si="4"/>
        <v>157.48338667950179</v>
      </c>
      <c r="M103" s="344">
        <f>Recovery_OX!C100</f>
        <v>23</v>
      </c>
      <c r="N103" s="291"/>
      <c r="O103" s="345">
        <f>(L103-M103)*(1-Recovery_OX!F100)</f>
        <v>121.03504801155161</v>
      </c>
    </row>
    <row r="104" spans="2:15" x14ac:dyDescent="0.25">
      <c r="B104" s="338">
        <f t="shared" si="2"/>
        <v>2039</v>
      </c>
      <c r="C104" s="339">
        <f>IF(Select2=1,Food!$J108,"")</f>
        <v>43.370804989639169</v>
      </c>
      <c r="D104" s="340">
        <f>IF(Select2=1,Garden!$J108,"")</f>
        <v>0</v>
      </c>
      <c r="E104" s="340">
        <f>IF(Select2=1,Paper!$J108,"")</f>
        <v>57.954633864350036</v>
      </c>
      <c r="F104" s="340">
        <f>IF(Select2=1,Wood!$J108,"")</f>
        <v>40.295252276011581</v>
      </c>
      <c r="G104" s="340">
        <f>IF(Select2=1,Textiles!$J108,"")</f>
        <v>15.711576887841183</v>
      </c>
      <c r="H104" s="341">
        <f>IF(Select2=1,Nappies!$J108,"")</f>
        <v>0</v>
      </c>
      <c r="I104" s="342">
        <f>Sludge!$J108</f>
        <v>0</v>
      </c>
      <c r="J104" s="342" t="str">
        <f>IF(Select2=2,MSW!$J108,"")</f>
        <v/>
      </c>
      <c r="K104" s="342">
        <f>Industry!$J108</f>
        <v>0</v>
      </c>
      <c r="L104" s="343">
        <f t="shared" si="4"/>
        <v>157.33226801784195</v>
      </c>
      <c r="M104" s="344">
        <f>Recovery_OX!C101</f>
        <v>23</v>
      </c>
      <c r="N104" s="291"/>
      <c r="O104" s="345">
        <f>(L104-M104)*(1-Recovery_OX!F101)</f>
        <v>120.89904121605777</v>
      </c>
    </row>
    <row r="105" spans="2:15" ht="15.75" thickBot="1" x14ac:dyDescent="0.3">
      <c r="B105" s="346">
        <f t="shared" si="2"/>
        <v>2040</v>
      </c>
      <c r="C105" s="347">
        <f>IF(Select2=1,Food!$J109,"")</f>
        <v>43.358031408376803</v>
      </c>
      <c r="D105" s="348">
        <f>IF(Select2=1,Garden!$J109,"")</f>
        <v>0</v>
      </c>
      <c r="E105" s="348">
        <f>IF(Select2=1,Paper!$J109,"")</f>
        <v>57.653221424006475</v>
      </c>
      <c r="F105" s="348">
        <f>IF(Select2=1,Wood!$J109,"")</f>
        <v>40.466780509799833</v>
      </c>
      <c r="G105" s="348">
        <f>IF(Select2=1,Textiles!$J109,"")</f>
        <v>15.718686687761107</v>
      </c>
      <c r="H105" s="349">
        <f>IF(Select2=1,Nappies!$J109,"")</f>
        <v>0</v>
      </c>
      <c r="I105" s="350">
        <f>Sludge!$J109</f>
        <v>0</v>
      </c>
      <c r="J105" s="350" t="str">
        <f>IF(Select2=2,MSW!$J109,"")</f>
        <v/>
      </c>
      <c r="K105" s="350">
        <f>Industry!$J109</f>
        <v>0</v>
      </c>
      <c r="L105" s="351">
        <f t="shared" si="4"/>
        <v>157.1967200299442</v>
      </c>
      <c r="M105" s="352">
        <f>Recovery_OX!C102</f>
        <v>23</v>
      </c>
      <c r="N105" s="291"/>
      <c r="O105" s="353">
        <f>(L105-M105)*(1-Recovery_OX!F102)</f>
        <v>120.77704802694979</v>
      </c>
    </row>
    <row r="106" spans="2:15" x14ac:dyDescent="0.25">
      <c r="N106" s="284"/>
    </row>
  </sheetData>
  <mergeCells count="2">
    <mergeCell ref="B5:H5"/>
    <mergeCell ref="C10:L10"/>
  </mergeCells>
  <dataValidations count="1">
    <dataValidation type="whole" allowBlank="1" showInputMessage="1" showErrorMessage="1" error="Please enter a year between 1900 and 2000"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formula1>1900</formula1>
      <formula2>2000</formula2>
    </dataValidation>
  </dataValidation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tabColor theme="2" tint="-0.499984740745262"/>
  </sheetPr>
  <dimension ref="B2:O102"/>
  <sheetViews>
    <sheetView workbookViewId="0"/>
  </sheetViews>
  <sheetFormatPr defaultColWidth="11.42578125" defaultRowHeight="15" x14ac:dyDescent="0.25"/>
  <cols>
    <col min="1" max="1" width="2.85546875" style="44" customWidth="1"/>
    <col min="2" max="2" width="7.28515625" style="44" customWidth="1"/>
    <col min="3" max="3" width="9.5703125" style="44" customWidth="1"/>
    <col min="4" max="4" width="9.140625" style="44" customWidth="1"/>
    <col min="5" max="5" width="8.85546875" style="44" customWidth="1"/>
    <col min="6" max="6" width="9.7109375" style="44" customWidth="1"/>
    <col min="7" max="7" width="9.42578125" style="44" customWidth="1"/>
    <col min="8" max="8" width="10.28515625" style="44" customWidth="1"/>
    <col min="9" max="9" width="2.5703125" style="44" customWidth="1"/>
    <col min="10" max="10" width="9.140625" style="44" customWidth="1"/>
    <col min="11" max="11" width="9.28515625" style="44" customWidth="1"/>
    <col min="12" max="12" width="8.85546875" style="44" customWidth="1"/>
    <col min="13" max="13" width="8.28515625" style="356" customWidth="1"/>
    <col min="14" max="14" width="9.85546875" style="356" customWidth="1"/>
    <col min="15" max="15" width="8.7109375" style="356" customWidth="1"/>
    <col min="16" max="256" width="11.42578125" style="44"/>
    <col min="257" max="257" width="2.85546875" style="44" customWidth="1"/>
    <col min="258" max="258" width="7.28515625" style="44" customWidth="1"/>
    <col min="259" max="259" width="9.5703125" style="44" customWidth="1"/>
    <col min="260" max="260" width="9.140625" style="44" customWidth="1"/>
    <col min="261" max="261" width="8.85546875" style="44" customWidth="1"/>
    <col min="262" max="262" width="9.7109375" style="44" customWidth="1"/>
    <col min="263" max="263" width="9.42578125" style="44" customWidth="1"/>
    <col min="264" max="264" width="10.28515625" style="44" customWidth="1"/>
    <col min="265" max="265" width="2.5703125" style="44" customWidth="1"/>
    <col min="266" max="266" width="9.140625" style="44" customWidth="1"/>
    <col min="267" max="267" width="9.28515625" style="44" customWidth="1"/>
    <col min="268" max="268" width="8.85546875" style="44" customWidth="1"/>
    <col min="269" max="269" width="8.28515625" style="44" customWidth="1"/>
    <col min="270" max="270" width="9.85546875" style="44" customWidth="1"/>
    <col min="271" max="271" width="8.7109375" style="44" customWidth="1"/>
    <col min="272" max="512" width="11.42578125" style="44"/>
    <col min="513" max="513" width="2.85546875" style="44" customWidth="1"/>
    <col min="514" max="514" width="7.28515625" style="44" customWidth="1"/>
    <col min="515" max="515" width="9.5703125" style="44" customWidth="1"/>
    <col min="516" max="516" width="9.140625" style="44" customWidth="1"/>
    <col min="517" max="517" width="8.85546875" style="44" customWidth="1"/>
    <col min="518" max="518" width="9.7109375" style="44" customWidth="1"/>
    <col min="519" max="519" width="9.42578125" style="44" customWidth="1"/>
    <col min="520" max="520" width="10.28515625" style="44" customWidth="1"/>
    <col min="521" max="521" width="2.5703125" style="44" customWidth="1"/>
    <col min="522" max="522" width="9.140625" style="44" customWidth="1"/>
    <col min="523" max="523" width="9.28515625" style="44" customWidth="1"/>
    <col min="524" max="524" width="8.85546875" style="44" customWidth="1"/>
    <col min="525" max="525" width="8.28515625" style="44" customWidth="1"/>
    <col min="526" max="526" width="9.85546875" style="44" customWidth="1"/>
    <col min="527" max="527" width="8.7109375" style="44" customWidth="1"/>
    <col min="528" max="768" width="11.42578125" style="44"/>
    <col min="769" max="769" width="2.85546875" style="44" customWidth="1"/>
    <col min="770" max="770" width="7.28515625" style="44" customWidth="1"/>
    <col min="771" max="771" width="9.5703125" style="44" customWidth="1"/>
    <col min="772" max="772" width="9.140625" style="44" customWidth="1"/>
    <col min="773" max="773" width="8.85546875" style="44" customWidth="1"/>
    <col min="774" max="774" width="9.7109375" style="44" customWidth="1"/>
    <col min="775" max="775" width="9.42578125" style="44" customWidth="1"/>
    <col min="776" max="776" width="10.28515625" style="44" customWidth="1"/>
    <col min="777" max="777" width="2.5703125" style="44" customWidth="1"/>
    <col min="778" max="778" width="9.140625" style="44" customWidth="1"/>
    <col min="779" max="779" width="9.28515625" style="44" customWidth="1"/>
    <col min="780" max="780" width="8.85546875" style="44" customWidth="1"/>
    <col min="781" max="781" width="8.28515625" style="44" customWidth="1"/>
    <col min="782" max="782" width="9.85546875" style="44" customWidth="1"/>
    <col min="783" max="783" width="8.7109375" style="44" customWidth="1"/>
    <col min="784" max="1024" width="11.42578125" style="44"/>
    <col min="1025" max="1025" width="2.85546875" style="44" customWidth="1"/>
    <col min="1026" max="1026" width="7.28515625" style="44" customWidth="1"/>
    <col min="1027" max="1027" width="9.5703125" style="44" customWidth="1"/>
    <col min="1028" max="1028" width="9.140625" style="44" customWidth="1"/>
    <col min="1029" max="1029" width="8.85546875" style="44" customWidth="1"/>
    <col min="1030" max="1030" width="9.7109375" style="44" customWidth="1"/>
    <col min="1031" max="1031" width="9.42578125" style="44" customWidth="1"/>
    <col min="1032" max="1032" width="10.28515625" style="44" customWidth="1"/>
    <col min="1033" max="1033" width="2.5703125" style="44" customWidth="1"/>
    <col min="1034" max="1034" width="9.140625" style="44" customWidth="1"/>
    <col min="1035" max="1035" width="9.28515625" style="44" customWidth="1"/>
    <col min="1036" max="1036" width="8.85546875" style="44" customWidth="1"/>
    <col min="1037" max="1037" width="8.28515625" style="44" customWidth="1"/>
    <col min="1038" max="1038" width="9.85546875" style="44" customWidth="1"/>
    <col min="1039" max="1039" width="8.7109375" style="44" customWidth="1"/>
    <col min="1040" max="1280" width="11.42578125" style="44"/>
    <col min="1281" max="1281" width="2.85546875" style="44" customWidth="1"/>
    <col min="1282" max="1282" width="7.28515625" style="44" customWidth="1"/>
    <col min="1283" max="1283" width="9.5703125" style="44" customWidth="1"/>
    <col min="1284" max="1284" width="9.140625" style="44" customWidth="1"/>
    <col min="1285" max="1285" width="8.85546875" style="44" customWidth="1"/>
    <col min="1286" max="1286" width="9.7109375" style="44" customWidth="1"/>
    <col min="1287" max="1287" width="9.42578125" style="44" customWidth="1"/>
    <col min="1288" max="1288" width="10.28515625" style="44" customWidth="1"/>
    <col min="1289" max="1289" width="2.5703125" style="44" customWidth="1"/>
    <col min="1290" max="1290" width="9.140625" style="44" customWidth="1"/>
    <col min="1291" max="1291" width="9.28515625" style="44" customWidth="1"/>
    <col min="1292" max="1292" width="8.85546875" style="44" customWidth="1"/>
    <col min="1293" max="1293" width="8.28515625" style="44" customWidth="1"/>
    <col min="1294" max="1294" width="9.85546875" style="44" customWidth="1"/>
    <col min="1295" max="1295" width="8.7109375" style="44" customWidth="1"/>
    <col min="1296" max="1536" width="11.42578125" style="44"/>
    <col min="1537" max="1537" width="2.85546875" style="44" customWidth="1"/>
    <col min="1538" max="1538" width="7.28515625" style="44" customWidth="1"/>
    <col min="1539" max="1539" width="9.5703125" style="44" customWidth="1"/>
    <col min="1540" max="1540" width="9.140625" style="44" customWidth="1"/>
    <col min="1541" max="1541" width="8.85546875" style="44" customWidth="1"/>
    <col min="1542" max="1542" width="9.7109375" style="44" customWidth="1"/>
    <col min="1543" max="1543" width="9.42578125" style="44" customWidth="1"/>
    <col min="1544" max="1544" width="10.28515625" style="44" customWidth="1"/>
    <col min="1545" max="1545" width="2.5703125" style="44" customWidth="1"/>
    <col min="1546" max="1546" width="9.140625" style="44" customWidth="1"/>
    <col min="1547" max="1547" width="9.28515625" style="44" customWidth="1"/>
    <col min="1548" max="1548" width="8.85546875" style="44" customWidth="1"/>
    <col min="1549" max="1549" width="8.28515625" style="44" customWidth="1"/>
    <col min="1550" max="1550" width="9.85546875" style="44" customWidth="1"/>
    <col min="1551" max="1551" width="8.7109375" style="44" customWidth="1"/>
    <col min="1552" max="1792" width="11.42578125" style="44"/>
    <col min="1793" max="1793" width="2.85546875" style="44" customWidth="1"/>
    <col min="1794" max="1794" width="7.28515625" style="44" customWidth="1"/>
    <col min="1795" max="1795" width="9.5703125" style="44" customWidth="1"/>
    <col min="1796" max="1796" width="9.140625" style="44" customWidth="1"/>
    <col min="1797" max="1797" width="8.85546875" style="44" customWidth="1"/>
    <col min="1798" max="1798" width="9.7109375" style="44" customWidth="1"/>
    <col min="1799" max="1799" width="9.42578125" style="44" customWidth="1"/>
    <col min="1800" max="1800" width="10.28515625" style="44" customWidth="1"/>
    <col min="1801" max="1801" width="2.5703125" style="44" customWidth="1"/>
    <col min="1802" max="1802" width="9.140625" style="44" customWidth="1"/>
    <col min="1803" max="1803" width="9.28515625" style="44" customWidth="1"/>
    <col min="1804" max="1804" width="8.85546875" style="44" customWidth="1"/>
    <col min="1805" max="1805" width="8.28515625" style="44" customWidth="1"/>
    <col min="1806" max="1806" width="9.85546875" style="44" customWidth="1"/>
    <col min="1807" max="1807" width="8.7109375" style="44" customWidth="1"/>
    <col min="1808" max="2048" width="11.42578125" style="44"/>
    <col min="2049" max="2049" width="2.85546875" style="44" customWidth="1"/>
    <col min="2050" max="2050" width="7.28515625" style="44" customWidth="1"/>
    <col min="2051" max="2051" width="9.5703125" style="44" customWidth="1"/>
    <col min="2052" max="2052" width="9.140625" style="44" customWidth="1"/>
    <col min="2053" max="2053" width="8.85546875" style="44" customWidth="1"/>
    <col min="2054" max="2054" width="9.7109375" style="44" customWidth="1"/>
    <col min="2055" max="2055" width="9.42578125" style="44" customWidth="1"/>
    <col min="2056" max="2056" width="10.28515625" style="44" customWidth="1"/>
    <col min="2057" max="2057" width="2.5703125" style="44" customWidth="1"/>
    <col min="2058" max="2058" width="9.140625" style="44" customWidth="1"/>
    <col min="2059" max="2059" width="9.28515625" style="44" customWidth="1"/>
    <col min="2060" max="2060" width="8.85546875" style="44" customWidth="1"/>
    <col min="2061" max="2061" width="8.28515625" style="44" customWidth="1"/>
    <col min="2062" max="2062" width="9.85546875" style="44" customWidth="1"/>
    <col min="2063" max="2063" width="8.7109375" style="44" customWidth="1"/>
    <col min="2064" max="2304" width="11.42578125" style="44"/>
    <col min="2305" max="2305" width="2.85546875" style="44" customWidth="1"/>
    <col min="2306" max="2306" width="7.28515625" style="44" customWidth="1"/>
    <col min="2307" max="2307" width="9.5703125" style="44" customWidth="1"/>
    <col min="2308" max="2308" width="9.140625" style="44" customWidth="1"/>
    <col min="2309" max="2309" width="8.85546875" style="44" customWidth="1"/>
    <col min="2310" max="2310" width="9.7109375" style="44" customWidth="1"/>
    <col min="2311" max="2311" width="9.42578125" style="44" customWidth="1"/>
    <col min="2312" max="2312" width="10.28515625" style="44" customWidth="1"/>
    <col min="2313" max="2313" width="2.5703125" style="44" customWidth="1"/>
    <col min="2314" max="2314" width="9.140625" style="44" customWidth="1"/>
    <col min="2315" max="2315" width="9.28515625" style="44" customWidth="1"/>
    <col min="2316" max="2316" width="8.85546875" style="44" customWidth="1"/>
    <col min="2317" max="2317" width="8.28515625" style="44" customWidth="1"/>
    <col min="2318" max="2318" width="9.85546875" style="44" customWidth="1"/>
    <col min="2319" max="2319" width="8.7109375" style="44" customWidth="1"/>
    <col min="2320" max="2560" width="11.42578125" style="44"/>
    <col min="2561" max="2561" width="2.85546875" style="44" customWidth="1"/>
    <col min="2562" max="2562" width="7.28515625" style="44" customWidth="1"/>
    <col min="2563" max="2563" width="9.5703125" style="44" customWidth="1"/>
    <col min="2564" max="2564" width="9.140625" style="44" customWidth="1"/>
    <col min="2565" max="2565" width="8.85546875" style="44" customWidth="1"/>
    <col min="2566" max="2566" width="9.7109375" style="44" customWidth="1"/>
    <col min="2567" max="2567" width="9.42578125" style="44" customWidth="1"/>
    <col min="2568" max="2568" width="10.28515625" style="44" customWidth="1"/>
    <col min="2569" max="2569" width="2.5703125" style="44" customWidth="1"/>
    <col min="2570" max="2570" width="9.140625" style="44" customWidth="1"/>
    <col min="2571" max="2571" width="9.28515625" style="44" customWidth="1"/>
    <col min="2572" max="2572" width="8.85546875" style="44" customWidth="1"/>
    <col min="2573" max="2573" width="8.28515625" style="44" customWidth="1"/>
    <col min="2574" max="2574" width="9.85546875" style="44" customWidth="1"/>
    <col min="2575" max="2575" width="8.7109375" style="44" customWidth="1"/>
    <col min="2576" max="2816" width="11.42578125" style="44"/>
    <col min="2817" max="2817" width="2.85546875" style="44" customWidth="1"/>
    <col min="2818" max="2818" width="7.28515625" style="44" customWidth="1"/>
    <col min="2819" max="2819" width="9.5703125" style="44" customWidth="1"/>
    <col min="2820" max="2820" width="9.140625" style="44" customWidth="1"/>
    <col min="2821" max="2821" width="8.85546875" style="44" customWidth="1"/>
    <col min="2822" max="2822" width="9.7109375" style="44" customWidth="1"/>
    <col min="2823" max="2823" width="9.42578125" style="44" customWidth="1"/>
    <col min="2824" max="2824" width="10.28515625" style="44" customWidth="1"/>
    <col min="2825" max="2825" width="2.5703125" style="44" customWidth="1"/>
    <col min="2826" max="2826" width="9.140625" style="44" customWidth="1"/>
    <col min="2827" max="2827" width="9.28515625" style="44" customWidth="1"/>
    <col min="2828" max="2828" width="8.85546875" style="44" customWidth="1"/>
    <col min="2829" max="2829" width="8.28515625" style="44" customWidth="1"/>
    <col min="2830" max="2830" width="9.85546875" style="44" customWidth="1"/>
    <col min="2831" max="2831" width="8.7109375" style="44" customWidth="1"/>
    <col min="2832" max="3072" width="11.42578125" style="44"/>
    <col min="3073" max="3073" width="2.85546875" style="44" customWidth="1"/>
    <col min="3074" max="3074" width="7.28515625" style="44" customWidth="1"/>
    <col min="3075" max="3075" width="9.5703125" style="44" customWidth="1"/>
    <col min="3076" max="3076" width="9.140625" style="44" customWidth="1"/>
    <col min="3077" max="3077" width="8.85546875" style="44" customWidth="1"/>
    <col min="3078" max="3078" width="9.7109375" style="44" customWidth="1"/>
    <col min="3079" max="3079" width="9.42578125" style="44" customWidth="1"/>
    <col min="3080" max="3080" width="10.28515625" style="44" customWidth="1"/>
    <col min="3081" max="3081" width="2.5703125" style="44" customWidth="1"/>
    <col min="3082" max="3082" width="9.140625" style="44" customWidth="1"/>
    <col min="3083" max="3083" width="9.28515625" style="44" customWidth="1"/>
    <col min="3084" max="3084" width="8.85546875" style="44" customWidth="1"/>
    <col min="3085" max="3085" width="8.28515625" style="44" customWidth="1"/>
    <col min="3086" max="3086" width="9.85546875" style="44" customWidth="1"/>
    <col min="3087" max="3087" width="8.7109375" style="44" customWidth="1"/>
    <col min="3088" max="3328" width="11.42578125" style="44"/>
    <col min="3329" max="3329" width="2.85546875" style="44" customWidth="1"/>
    <col min="3330" max="3330" width="7.28515625" style="44" customWidth="1"/>
    <col min="3331" max="3331" width="9.5703125" style="44" customWidth="1"/>
    <col min="3332" max="3332" width="9.140625" style="44" customWidth="1"/>
    <col min="3333" max="3333" width="8.85546875" style="44" customWidth="1"/>
    <col min="3334" max="3334" width="9.7109375" style="44" customWidth="1"/>
    <col min="3335" max="3335" width="9.42578125" style="44" customWidth="1"/>
    <col min="3336" max="3336" width="10.28515625" style="44" customWidth="1"/>
    <col min="3337" max="3337" width="2.5703125" style="44" customWidth="1"/>
    <col min="3338" max="3338" width="9.140625" style="44" customWidth="1"/>
    <col min="3339" max="3339" width="9.28515625" style="44" customWidth="1"/>
    <col min="3340" max="3340" width="8.85546875" style="44" customWidth="1"/>
    <col min="3341" max="3341" width="8.28515625" style="44" customWidth="1"/>
    <col min="3342" max="3342" width="9.85546875" style="44" customWidth="1"/>
    <col min="3343" max="3343" width="8.7109375" style="44" customWidth="1"/>
    <col min="3344" max="3584" width="11.42578125" style="44"/>
    <col min="3585" max="3585" width="2.85546875" style="44" customWidth="1"/>
    <col min="3586" max="3586" width="7.28515625" style="44" customWidth="1"/>
    <col min="3587" max="3587" width="9.5703125" style="44" customWidth="1"/>
    <col min="3588" max="3588" width="9.140625" style="44" customWidth="1"/>
    <col min="3589" max="3589" width="8.85546875" style="44" customWidth="1"/>
    <col min="3590" max="3590" width="9.7109375" style="44" customWidth="1"/>
    <col min="3591" max="3591" width="9.42578125" style="44" customWidth="1"/>
    <col min="3592" max="3592" width="10.28515625" style="44" customWidth="1"/>
    <col min="3593" max="3593" width="2.5703125" style="44" customWidth="1"/>
    <col min="3594" max="3594" width="9.140625" style="44" customWidth="1"/>
    <col min="3595" max="3595" width="9.28515625" style="44" customWidth="1"/>
    <col min="3596" max="3596" width="8.85546875" style="44" customWidth="1"/>
    <col min="3597" max="3597" width="8.28515625" style="44" customWidth="1"/>
    <col min="3598" max="3598" width="9.85546875" style="44" customWidth="1"/>
    <col min="3599" max="3599" width="8.7109375" style="44" customWidth="1"/>
    <col min="3600" max="3840" width="11.42578125" style="44"/>
    <col min="3841" max="3841" width="2.85546875" style="44" customWidth="1"/>
    <col min="3842" max="3842" width="7.28515625" style="44" customWidth="1"/>
    <col min="3843" max="3843" width="9.5703125" style="44" customWidth="1"/>
    <col min="3844" max="3844" width="9.140625" style="44" customWidth="1"/>
    <col min="3845" max="3845" width="8.85546875" style="44" customWidth="1"/>
    <col min="3846" max="3846" width="9.7109375" style="44" customWidth="1"/>
    <col min="3847" max="3847" width="9.42578125" style="44" customWidth="1"/>
    <col min="3848" max="3848" width="10.28515625" style="44" customWidth="1"/>
    <col min="3849" max="3849" width="2.5703125" style="44" customWidth="1"/>
    <col min="3850" max="3850" width="9.140625" style="44" customWidth="1"/>
    <col min="3851" max="3851" width="9.28515625" style="44" customWidth="1"/>
    <col min="3852" max="3852" width="8.85546875" style="44" customWidth="1"/>
    <col min="3853" max="3853" width="8.28515625" style="44" customWidth="1"/>
    <col min="3854" max="3854" width="9.85546875" style="44" customWidth="1"/>
    <col min="3855" max="3855" width="8.7109375" style="44" customWidth="1"/>
    <col min="3856" max="4096" width="11.42578125" style="44"/>
    <col min="4097" max="4097" width="2.85546875" style="44" customWidth="1"/>
    <col min="4098" max="4098" width="7.28515625" style="44" customWidth="1"/>
    <col min="4099" max="4099" width="9.5703125" style="44" customWidth="1"/>
    <col min="4100" max="4100" width="9.140625" style="44" customWidth="1"/>
    <col min="4101" max="4101" width="8.85546875" style="44" customWidth="1"/>
    <col min="4102" max="4102" width="9.7109375" style="44" customWidth="1"/>
    <col min="4103" max="4103" width="9.42578125" style="44" customWidth="1"/>
    <col min="4104" max="4104" width="10.28515625" style="44" customWidth="1"/>
    <col min="4105" max="4105" width="2.5703125" style="44" customWidth="1"/>
    <col min="4106" max="4106" width="9.140625" style="44" customWidth="1"/>
    <col min="4107" max="4107" width="9.28515625" style="44" customWidth="1"/>
    <col min="4108" max="4108" width="8.85546875" style="44" customWidth="1"/>
    <col min="4109" max="4109" width="8.28515625" style="44" customWidth="1"/>
    <col min="4110" max="4110" width="9.85546875" style="44" customWidth="1"/>
    <col min="4111" max="4111" width="8.7109375" style="44" customWidth="1"/>
    <col min="4112" max="4352" width="11.42578125" style="44"/>
    <col min="4353" max="4353" width="2.85546875" style="44" customWidth="1"/>
    <col min="4354" max="4354" width="7.28515625" style="44" customWidth="1"/>
    <col min="4355" max="4355" width="9.5703125" style="44" customWidth="1"/>
    <col min="4356" max="4356" width="9.140625" style="44" customWidth="1"/>
    <col min="4357" max="4357" width="8.85546875" style="44" customWidth="1"/>
    <col min="4358" max="4358" width="9.7109375" style="44" customWidth="1"/>
    <col min="4359" max="4359" width="9.42578125" style="44" customWidth="1"/>
    <col min="4360" max="4360" width="10.28515625" style="44" customWidth="1"/>
    <col min="4361" max="4361" width="2.5703125" style="44" customWidth="1"/>
    <col min="4362" max="4362" width="9.140625" style="44" customWidth="1"/>
    <col min="4363" max="4363" width="9.28515625" style="44" customWidth="1"/>
    <col min="4364" max="4364" width="8.85546875" style="44" customWidth="1"/>
    <col min="4365" max="4365" width="8.28515625" style="44" customWidth="1"/>
    <col min="4366" max="4366" width="9.85546875" style="44" customWidth="1"/>
    <col min="4367" max="4367" width="8.7109375" style="44" customWidth="1"/>
    <col min="4368" max="4608" width="11.42578125" style="44"/>
    <col min="4609" max="4609" width="2.85546875" style="44" customWidth="1"/>
    <col min="4610" max="4610" width="7.28515625" style="44" customWidth="1"/>
    <col min="4611" max="4611" width="9.5703125" style="44" customWidth="1"/>
    <col min="4612" max="4612" width="9.140625" style="44" customWidth="1"/>
    <col min="4613" max="4613" width="8.85546875" style="44" customWidth="1"/>
    <col min="4614" max="4614" width="9.7109375" style="44" customWidth="1"/>
    <col min="4615" max="4615" width="9.42578125" style="44" customWidth="1"/>
    <col min="4616" max="4616" width="10.28515625" style="44" customWidth="1"/>
    <col min="4617" max="4617" width="2.5703125" style="44" customWidth="1"/>
    <col min="4618" max="4618" width="9.140625" style="44" customWidth="1"/>
    <col min="4619" max="4619" width="9.28515625" style="44" customWidth="1"/>
    <col min="4620" max="4620" width="8.85546875" style="44" customWidth="1"/>
    <col min="4621" max="4621" width="8.28515625" style="44" customWidth="1"/>
    <col min="4622" max="4622" width="9.85546875" style="44" customWidth="1"/>
    <col min="4623" max="4623" width="8.7109375" style="44" customWidth="1"/>
    <col min="4624" max="4864" width="11.42578125" style="44"/>
    <col min="4865" max="4865" width="2.85546875" style="44" customWidth="1"/>
    <col min="4866" max="4866" width="7.28515625" style="44" customWidth="1"/>
    <col min="4867" max="4867" width="9.5703125" style="44" customWidth="1"/>
    <col min="4868" max="4868" width="9.140625" style="44" customWidth="1"/>
    <col min="4869" max="4869" width="8.85546875" style="44" customWidth="1"/>
    <col min="4870" max="4870" width="9.7109375" style="44" customWidth="1"/>
    <col min="4871" max="4871" width="9.42578125" style="44" customWidth="1"/>
    <col min="4872" max="4872" width="10.28515625" style="44" customWidth="1"/>
    <col min="4873" max="4873" width="2.5703125" style="44" customWidth="1"/>
    <col min="4874" max="4874" width="9.140625" style="44" customWidth="1"/>
    <col min="4875" max="4875" width="9.28515625" style="44" customWidth="1"/>
    <col min="4876" max="4876" width="8.85546875" style="44" customWidth="1"/>
    <col min="4877" max="4877" width="8.28515625" style="44" customWidth="1"/>
    <col min="4878" max="4878" width="9.85546875" style="44" customWidth="1"/>
    <col min="4879" max="4879" width="8.7109375" style="44" customWidth="1"/>
    <col min="4880" max="5120" width="11.42578125" style="44"/>
    <col min="5121" max="5121" width="2.85546875" style="44" customWidth="1"/>
    <col min="5122" max="5122" width="7.28515625" style="44" customWidth="1"/>
    <col min="5123" max="5123" width="9.5703125" style="44" customWidth="1"/>
    <col min="5124" max="5124" width="9.140625" style="44" customWidth="1"/>
    <col min="5125" max="5125" width="8.85546875" style="44" customWidth="1"/>
    <col min="5126" max="5126" width="9.7109375" style="44" customWidth="1"/>
    <col min="5127" max="5127" width="9.42578125" style="44" customWidth="1"/>
    <col min="5128" max="5128" width="10.28515625" style="44" customWidth="1"/>
    <col min="5129" max="5129" width="2.5703125" style="44" customWidth="1"/>
    <col min="5130" max="5130" width="9.140625" style="44" customWidth="1"/>
    <col min="5131" max="5131" width="9.28515625" style="44" customWidth="1"/>
    <col min="5132" max="5132" width="8.85546875" style="44" customWidth="1"/>
    <col min="5133" max="5133" width="8.28515625" style="44" customWidth="1"/>
    <col min="5134" max="5134" width="9.85546875" style="44" customWidth="1"/>
    <col min="5135" max="5135" width="8.7109375" style="44" customWidth="1"/>
    <col min="5136" max="5376" width="11.42578125" style="44"/>
    <col min="5377" max="5377" width="2.85546875" style="44" customWidth="1"/>
    <col min="5378" max="5378" width="7.28515625" style="44" customWidth="1"/>
    <col min="5379" max="5379" width="9.5703125" style="44" customWidth="1"/>
    <col min="5380" max="5380" width="9.140625" style="44" customWidth="1"/>
    <col min="5381" max="5381" width="8.85546875" style="44" customWidth="1"/>
    <col min="5382" max="5382" width="9.7109375" style="44" customWidth="1"/>
    <col min="5383" max="5383" width="9.42578125" style="44" customWidth="1"/>
    <col min="5384" max="5384" width="10.28515625" style="44" customWidth="1"/>
    <col min="5385" max="5385" width="2.5703125" style="44" customWidth="1"/>
    <col min="5386" max="5386" width="9.140625" style="44" customWidth="1"/>
    <col min="5387" max="5387" width="9.28515625" style="44" customWidth="1"/>
    <col min="5388" max="5388" width="8.85546875" style="44" customWidth="1"/>
    <col min="5389" max="5389" width="8.28515625" style="44" customWidth="1"/>
    <col min="5390" max="5390" width="9.85546875" style="44" customWidth="1"/>
    <col min="5391" max="5391" width="8.7109375" style="44" customWidth="1"/>
    <col min="5392" max="5632" width="11.42578125" style="44"/>
    <col min="5633" max="5633" width="2.85546875" style="44" customWidth="1"/>
    <col min="5634" max="5634" width="7.28515625" style="44" customWidth="1"/>
    <col min="5635" max="5635" width="9.5703125" style="44" customWidth="1"/>
    <col min="5636" max="5636" width="9.140625" style="44" customWidth="1"/>
    <col min="5637" max="5637" width="8.85546875" style="44" customWidth="1"/>
    <col min="5638" max="5638" width="9.7109375" style="44" customWidth="1"/>
    <col min="5639" max="5639" width="9.42578125" style="44" customWidth="1"/>
    <col min="5640" max="5640" width="10.28515625" style="44" customWidth="1"/>
    <col min="5641" max="5641" width="2.5703125" style="44" customWidth="1"/>
    <col min="5642" max="5642" width="9.140625" style="44" customWidth="1"/>
    <col min="5643" max="5643" width="9.28515625" style="44" customWidth="1"/>
    <col min="5644" max="5644" width="8.85546875" style="44" customWidth="1"/>
    <col min="5645" max="5645" width="8.28515625" style="44" customWidth="1"/>
    <col min="5646" max="5646" width="9.85546875" style="44" customWidth="1"/>
    <col min="5647" max="5647" width="8.7109375" style="44" customWidth="1"/>
    <col min="5648" max="5888" width="11.42578125" style="44"/>
    <col min="5889" max="5889" width="2.85546875" style="44" customWidth="1"/>
    <col min="5890" max="5890" width="7.28515625" style="44" customWidth="1"/>
    <col min="5891" max="5891" width="9.5703125" style="44" customWidth="1"/>
    <col min="5892" max="5892" width="9.140625" style="44" customWidth="1"/>
    <col min="5893" max="5893" width="8.85546875" style="44" customWidth="1"/>
    <col min="5894" max="5894" width="9.7109375" style="44" customWidth="1"/>
    <col min="5895" max="5895" width="9.42578125" style="44" customWidth="1"/>
    <col min="5896" max="5896" width="10.28515625" style="44" customWidth="1"/>
    <col min="5897" max="5897" width="2.5703125" style="44" customWidth="1"/>
    <col min="5898" max="5898" width="9.140625" style="44" customWidth="1"/>
    <col min="5899" max="5899" width="9.28515625" style="44" customWidth="1"/>
    <col min="5900" max="5900" width="8.85546875" style="44" customWidth="1"/>
    <col min="5901" max="5901" width="8.28515625" style="44" customWidth="1"/>
    <col min="5902" max="5902" width="9.85546875" style="44" customWidth="1"/>
    <col min="5903" max="5903" width="8.7109375" style="44" customWidth="1"/>
    <col min="5904" max="6144" width="11.42578125" style="44"/>
    <col min="6145" max="6145" width="2.85546875" style="44" customWidth="1"/>
    <col min="6146" max="6146" width="7.28515625" style="44" customWidth="1"/>
    <col min="6147" max="6147" width="9.5703125" style="44" customWidth="1"/>
    <col min="6148" max="6148" width="9.140625" style="44" customWidth="1"/>
    <col min="6149" max="6149" width="8.85546875" style="44" customWidth="1"/>
    <col min="6150" max="6150" width="9.7109375" style="44" customWidth="1"/>
    <col min="6151" max="6151" width="9.42578125" style="44" customWidth="1"/>
    <col min="6152" max="6152" width="10.28515625" style="44" customWidth="1"/>
    <col min="6153" max="6153" width="2.5703125" style="44" customWidth="1"/>
    <col min="6154" max="6154" width="9.140625" style="44" customWidth="1"/>
    <col min="6155" max="6155" width="9.28515625" style="44" customWidth="1"/>
    <col min="6156" max="6156" width="8.85546875" style="44" customWidth="1"/>
    <col min="6157" max="6157" width="8.28515625" style="44" customWidth="1"/>
    <col min="6158" max="6158" width="9.85546875" style="44" customWidth="1"/>
    <col min="6159" max="6159" width="8.7109375" style="44" customWidth="1"/>
    <col min="6160" max="6400" width="11.42578125" style="44"/>
    <col min="6401" max="6401" width="2.85546875" style="44" customWidth="1"/>
    <col min="6402" max="6402" width="7.28515625" style="44" customWidth="1"/>
    <col min="6403" max="6403" width="9.5703125" style="44" customWidth="1"/>
    <col min="6404" max="6404" width="9.140625" style="44" customWidth="1"/>
    <col min="6405" max="6405" width="8.85546875" style="44" customWidth="1"/>
    <col min="6406" max="6406" width="9.7109375" style="44" customWidth="1"/>
    <col min="6407" max="6407" width="9.42578125" style="44" customWidth="1"/>
    <col min="6408" max="6408" width="10.28515625" style="44" customWidth="1"/>
    <col min="6409" max="6409" width="2.5703125" style="44" customWidth="1"/>
    <col min="6410" max="6410" width="9.140625" style="44" customWidth="1"/>
    <col min="6411" max="6411" width="9.28515625" style="44" customWidth="1"/>
    <col min="6412" max="6412" width="8.85546875" style="44" customWidth="1"/>
    <col min="6413" max="6413" width="8.28515625" style="44" customWidth="1"/>
    <col min="6414" max="6414" width="9.85546875" style="44" customWidth="1"/>
    <col min="6415" max="6415" width="8.7109375" style="44" customWidth="1"/>
    <col min="6416" max="6656" width="11.42578125" style="44"/>
    <col min="6657" max="6657" width="2.85546875" style="44" customWidth="1"/>
    <col min="6658" max="6658" width="7.28515625" style="44" customWidth="1"/>
    <col min="6659" max="6659" width="9.5703125" style="44" customWidth="1"/>
    <col min="6660" max="6660" width="9.140625" style="44" customWidth="1"/>
    <col min="6661" max="6661" width="8.85546875" style="44" customWidth="1"/>
    <col min="6662" max="6662" width="9.7109375" style="44" customWidth="1"/>
    <col min="6663" max="6663" width="9.42578125" style="44" customWidth="1"/>
    <col min="6664" max="6664" width="10.28515625" style="44" customWidth="1"/>
    <col min="6665" max="6665" width="2.5703125" style="44" customWidth="1"/>
    <col min="6666" max="6666" width="9.140625" style="44" customWidth="1"/>
    <col min="6667" max="6667" width="9.28515625" style="44" customWidth="1"/>
    <col min="6668" max="6668" width="8.85546875" style="44" customWidth="1"/>
    <col min="6669" max="6669" width="8.28515625" style="44" customWidth="1"/>
    <col min="6670" max="6670" width="9.85546875" style="44" customWidth="1"/>
    <col min="6671" max="6671" width="8.7109375" style="44" customWidth="1"/>
    <col min="6672" max="6912" width="11.42578125" style="44"/>
    <col min="6913" max="6913" width="2.85546875" style="44" customWidth="1"/>
    <col min="6914" max="6914" width="7.28515625" style="44" customWidth="1"/>
    <col min="6915" max="6915" width="9.5703125" style="44" customWidth="1"/>
    <col min="6916" max="6916" width="9.140625" style="44" customWidth="1"/>
    <col min="6917" max="6917" width="8.85546875" style="44" customWidth="1"/>
    <col min="6918" max="6918" width="9.7109375" style="44" customWidth="1"/>
    <col min="6919" max="6919" width="9.42578125" style="44" customWidth="1"/>
    <col min="6920" max="6920" width="10.28515625" style="44" customWidth="1"/>
    <col min="6921" max="6921" width="2.5703125" style="44" customWidth="1"/>
    <col min="6922" max="6922" width="9.140625" style="44" customWidth="1"/>
    <col min="6923" max="6923" width="9.28515625" style="44" customWidth="1"/>
    <col min="6924" max="6924" width="8.85546875" style="44" customWidth="1"/>
    <col min="6925" max="6925" width="8.28515625" style="44" customWidth="1"/>
    <col min="6926" max="6926" width="9.85546875" style="44" customWidth="1"/>
    <col min="6927" max="6927" width="8.7109375" style="44" customWidth="1"/>
    <col min="6928" max="7168" width="11.42578125" style="44"/>
    <col min="7169" max="7169" width="2.85546875" style="44" customWidth="1"/>
    <col min="7170" max="7170" width="7.28515625" style="44" customWidth="1"/>
    <col min="7171" max="7171" width="9.5703125" style="44" customWidth="1"/>
    <col min="7172" max="7172" width="9.140625" style="44" customWidth="1"/>
    <col min="7173" max="7173" width="8.85546875" style="44" customWidth="1"/>
    <col min="7174" max="7174" width="9.7109375" style="44" customWidth="1"/>
    <col min="7175" max="7175" width="9.42578125" style="44" customWidth="1"/>
    <col min="7176" max="7176" width="10.28515625" style="44" customWidth="1"/>
    <col min="7177" max="7177" width="2.5703125" style="44" customWidth="1"/>
    <col min="7178" max="7178" width="9.140625" style="44" customWidth="1"/>
    <col min="7179" max="7179" width="9.28515625" style="44" customWidth="1"/>
    <col min="7180" max="7180" width="8.85546875" style="44" customWidth="1"/>
    <col min="7181" max="7181" width="8.28515625" style="44" customWidth="1"/>
    <col min="7182" max="7182" width="9.85546875" style="44" customWidth="1"/>
    <col min="7183" max="7183" width="8.7109375" style="44" customWidth="1"/>
    <col min="7184" max="7424" width="11.42578125" style="44"/>
    <col min="7425" max="7425" width="2.85546875" style="44" customWidth="1"/>
    <col min="7426" max="7426" width="7.28515625" style="44" customWidth="1"/>
    <col min="7427" max="7427" width="9.5703125" style="44" customWidth="1"/>
    <col min="7428" max="7428" width="9.140625" style="44" customWidth="1"/>
    <col min="7429" max="7429" width="8.85546875" style="44" customWidth="1"/>
    <col min="7430" max="7430" width="9.7109375" style="44" customWidth="1"/>
    <col min="7431" max="7431" width="9.42578125" style="44" customWidth="1"/>
    <col min="7432" max="7432" width="10.28515625" style="44" customWidth="1"/>
    <col min="7433" max="7433" width="2.5703125" style="44" customWidth="1"/>
    <col min="7434" max="7434" width="9.140625" style="44" customWidth="1"/>
    <col min="7435" max="7435" width="9.28515625" style="44" customWidth="1"/>
    <col min="7436" max="7436" width="8.85546875" style="44" customWidth="1"/>
    <col min="7437" max="7437" width="8.28515625" style="44" customWidth="1"/>
    <col min="7438" max="7438" width="9.85546875" style="44" customWidth="1"/>
    <col min="7439" max="7439" width="8.7109375" style="44" customWidth="1"/>
    <col min="7440" max="7680" width="11.42578125" style="44"/>
    <col min="7681" max="7681" width="2.85546875" style="44" customWidth="1"/>
    <col min="7682" max="7682" width="7.28515625" style="44" customWidth="1"/>
    <col min="7683" max="7683" width="9.5703125" style="44" customWidth="1"/>
    <col min="7684" max="7684" width="9.140625" style="44" customWidth="1"/>
    <col min="7685" max="7685" width="8.85546875" style="44" customWidth="1"/>
    <col min="7686" max="7686" width="9.7109375" style="44" customWidth="1"/>
    <col min="7687" max="7687" width="9.42578125" style="44" customWidth="1"/>
    <col min="7688" max="7688" width="10.28515625" style="44" customWidth="1"/>
    <col min="7689" max="7689" width="2.5703125" style="44" customWidth="1"/>
    <col min="7690" max="7690" width="9.140625" style="44" customWidth="1"/>
    <col min="7691" max="7691" width="9.28515625" style="44" customWidth="1"/>
    <col min="7692" max="7692" width="8.85546875" style="44" customWidth="1"/>
    <col min="7693" max="7693" width="8.28515625" style="44" customWidth="1"/>
    <col min="7694" max="7694" width="9.85546875" style="44" customWidth="1"/>
    <col min="7695" max="7695" width="8.7109375" style="44" customWidth="1"/>
    <col min="7696" max="7936" width="11.42578125" style="44"/>
    <col min="7937" max="7937" width="2.85546875" style="44" customWidth="1"/>
    <col min="7938" max="7938" width="7.28515625" style="44" customWidth="1"/>
    <col min="7939" max="7939" width="9.5703125" style="44" customWidth="1"/>
    <col min="7940" max="7940" width="9.140625" style="44" customWidth="1"/>
    <col min="7941" max="7941" width="8.85546875" style="44" customWidth="1"/>
    <col min="7942" max="7942" width="9.7109375" style="44" customWidth="1"/>
    <col min="7943" max="7943" width="9.42578125" style="44" customWidth="1"/>
    <col min="7944" max="7944" width="10.28515625" style="44" customWidth="1"/>
    <col min="7945" max="7945" width="2.5703125" style="44" customWidth="1"/>
    <col min="7946" max="7946" width="9.140625" style="44" customWidth="1"/>
    <col min="7947" max="7947" width="9.28515625" style="44" customWidth="1"/>
    <col min="7948" max="7948" width="8.85546875" style="44" customWidth="1"/>
    <col min="7949" max="7949" width="8.28515625" style="44" customWidth="1"/>
    <col min="7950" max="7950" width="9.85546875" style="44" customWidth="1"/>
    <col min="7951" max="7951" width="8.7109375" style="44" customWidth="1"/>
    <col min="7952" max="8192" width="11.42578125" style="44"/>
    <col min="8193" max="8193" width="2.85546875" style="44" customWidth="1"/>
    <col min="8194" max="8194" width="7.28515625" style="44" customWidth="1"/>
    <col min="8195" max="8195" width="9.5703125" style="44" customWidth="1"/>
    <col min="8196" max="8196" width="9.140625" style="44" customWidth="1"/>
    <col min="8197" max="8197" width="8.85546875" style="44" customWidth="1"/>
    <col min="8198" max="8198" width="9.7109375" style="44" customWidth="1"/>
    <col min="8199" max="8199" width="9.42578125" style="44" customWidth="1"/>
    <col min="8200" max="8200" width="10.28515625" style="44" customWidth="1"/>
    <col min="8201" max="8201" width="2.5703125" style="44" customWidth="1"/>
    <col min="8202" max="8202" width="9.140625" style="44" customWidth="1"/>
    <col min="8203" max="8203" width="9.28515625" style="44" customWidth="1"/>
    <col min="8204" max="8204" width="8.85546875" style="44" customWidth="1"/>
    <col min="8205" max="8205" width="8.28515625" style="44" customWidth="1"/>
    <col min="8206" max="8206" width="9.85546875" style="44" customWidth="1"/>
    <col min="8207" max="8207" width="8.7109375" style="44" customWidth="1"/>
    <col min="8208" max="8448" width="11.42578125" style="44"/>
    <col min="8449" max="8449" width="2.85546875" style="44" customWidth="1"/>
    <col min="8450" max="8450" width="7.28515625" style="44" customWidth="1"/>
    <col min="8451" max="8451" width="9.5703125" style="44" customWidth="1"/>
    <col min="8452" max="8452" width="9.140625" style="44" customWidth="1"/>
    <col min="8453" max="8453" width="8.85546875" style="44" customWidth="1"/>
    <col min="8454" max="8454" width="9.7109375" style="44" customWidth="1"/>
    <col min="8455" max="8455" width="9.42578125" style="44" customWidth="1"/>
    <col min="8456" max="8456" width="10.28515625" style="44" customWidth="1"/>
    <col min="8457" max="8457" width="2.5703125" style="44" customWidth="1"/>
    <col min="8458" max="8458" width="9.140625" style="44" customWidth="1"/>
    <col min="8459" max="8459" width="9.28515625" style="44" customWidth="1"/>
    <col min="8460" max="8460" width="8.85546875" style="44" customWidth="1"/>
    <col min="8461" max="8461" width="8.28515625" style="44" customWidth="1"/>
    <col min="8462" max="8462" width="9.85546875" style="44" customWidth="1"/>
    <col min="8463" max="8463" width="8.7109375" style="44" customWidth="1"/>
    <col min="8464" max="8704" width="11.42578125" style="44"/>
    <col min="8705" max="8705" width="2.85546875" style="44" customWidth="1"/>
    <col min="8706" max="8706" width="7.28515625" style="44" customWidth="1"/>
    <col min="8707" max="8707" width="9.5703125" style="44" customWidth="1"/>
    <col min="8708" max="8708" width="9.140625" style="44" customWidth="1"/>
    <col min="8709" max="8709" width="8.85546875" style="44" customWidth="1"/>
    <col min="8710" max="8710" width="9.7109375" style="44" customWidth="1"/>
    <col min="8711" max="8711" width="9.42578125" style="44" customWidth="1"/>
    <col min="8712" max="8712" width="10.28515625" style="44" customWidth="1"/>
    <col min="8713" max="8713" width="2.5703125" style="44" customWidth="1"/>
    <col min="8714" max="8714" width="9.140625" style="44" customWidth="1"/>
    <col min="8715" max="8715" width="9.28515625" style="44" customWidth="1"/>
    <col min="8716" max="8716" width="8.85546875" style="44" customWidth="1"/>
    <col min="8717" max="8717" width="8.28515625" style="44" customWidth="1"/>
    <col min="8718" max="8718" width="9.85546875" style="44" customWidth="1"/>
    <col min="8719" max="8719" width="8.7109375" style="44" customWidth="1"/>
    <col min="8720" max="8960" width="11.42578125" style="44"/>
    <col min="8961" max="8961" width="2.85546875" style="44" customWidth="1"/>
    <col min="8962" max="8962" width="7.28515625" style="44" customWidth="1"/>
    <col min="8963" max="8963" width="9.5703125" style="44" customWidth="1"/>
    <col min="8964" max="8964" width="9.140625" style="44" customWidth="1"/>
    <col min="8965" max="8965" width="8.85546875" style="44" customWidth="1"/>
    <col min="8966" max="8966" width="9.7109375" style="44" customWidth="1"/>
    <col min="8967" max="8967" width="9.42578125" style="44" customWidth="1"/>
    <col min="8968" max="8968" width="10.28515625" style="44" customWidth="1"/>
    <col min="8969" max="8969" width="2.5703125" style="44" customWidth="1"/>
    <col min="8970" max="8970" width="9.140625" style="44" customWidth="1"/>
    <col min="8971" max="8971" width="9.28515625" style="44" customWidth="1"/>
    <col min="8972" max="8972" width="8.85546875" style="44" customWidth="1"/>
    <col min="8973" max="8973" width="8.28515625" style="44" customWidth="1"/>
    <col min="8974" max="8974" width="9.85546875" style="44" customWidth="1"/>
    <col min="8975" max="8975" width="8.7109375" style="44" customWidth="1"/>
    <col min="8976" max="9216" width="11.42578125" style="44"/>
    <col min="9217" max="9217" width="2.85546875" style="44" customWidth="1"/>
    <col min="9218" max="9218" width="7.28515625" style="44" customWidth="1"/>
    <col min="9219" max="9219" width="9.5703125" style="44" customWidth="1"/>
    <col min="9220" max="9220" width="9.140625" style="44" customWidth="1"/>
    <col min="9221" max="9221" width="8.85546875" style="44" customWidth="1"/>
    <col min="9222" max="9222" width="9.7109375" style="44" customWidth="1"/>
    <col min="9223" max="9223" width="9.42578125" style="44" customWidth="1"/>
    <col min="9224" max="9224" width="10.28515625" style="44" customWidth="1"/>
    <col min="9225" max="9225" width="2.5703125" style="44" customWidth="1"/>
    <col min="9226" max="9226" width="9.140625" style="44" customWidth="1"/>
    <col min="9227" max="9227" width="9.28515625" style="44" customWidth="1"/>
    <col min="9228" max="9228" width="8.85546875" style="44" customWidth="1"/>
    <col min="9229" max="9229" width="8.28515625" style="44" customWidth="1"/>
    <col min="9230" max="9230" width="9.85546875" style="44" customWidth="1"/>
    <col min="9231" max="9231" width="8.7109375" style="44" customWidth="1"/>
    <col min="9232" max="9472" width="11.42578125" style="44"/>
    <col min="9473" max="9473" width="2.85546875" style="44" customWidth="1"/>
    <col min="9474" max="9474" width="7.28515625" style="44" customWidth="1"/>
    <col min="9475" max="9475" width="9.5703125" style="44" customWidth="1"/>
    <col min="9476" max="9476" width="9.140625" style="44" customWidth="1"/>
    <col min="9477" max="9477" width="8.85546875" style="44" customWidth="1"/>
    <col min="9478" max="9478" width="9.7109375" style="44" customWidth="1"/>
    <col min="9479" max="9479" width="9.42578125" style="44" customWidth="1"/>
    <col min="9480" max="9480" width="10.28515625" style="44" customWidth="1"/>
    <col min="9481" max="9481" width="2.5703125" style="44" customWidth="1"/>
    <col min="9482" max="9482" width="9.140625" style="44" customWidth="1"/>
    <col min="9483" max="9483" width="9.28515625" style="44" customWidth="1"/>
    <col min="9484" max="9484" width="8.85546875" style="44" customWidth="1"/>
    <col min="9485" max="9485" width="8.28515625" style="44" customWidth="1"/>
    <col min="9486" max="9486" width="9.85546875" style="44" customWidth="1"/>
    <col min="9487" max="9487" width="8.7109375" style="44" customWidth="1"/>
    <col min="9488" max="9728" width="11.42578125" style="44"/>
    <col min="9729" max="9729" width="2.85546875" style="44" customWidth="1"/>
    <col min="9730" max="9730" width="7.28515625" style="44" customWidth="1"/>
    <col min="9731" max="9731" width="9.5703125" style="44" customWidth="1"/>
    <col min="9732" max="9732" width="9.140625" style="44" customWidth="1"/>
    <col min="9733" max="9733" width="8.85546875" style="44" customWidth="1"/>
    <col min="9734" max="9734" width="9.7109375" style="44" customWidth="1"/>
    <col min="9735" max="9735" width="9.42578125" style="44" customWidth="1"/>
    <col min="9736" max="9736" width="10.28515625" style="44" customWidth="1"/>
    <col min="9737" max="9737" width="2.5703125" style="44" customWidth="1"/>
    <col min="9738" max="9738" width="9.140625" style="44" customWidth="1"/>
    <col min="9739" max="9739" width="9.28515625" style="44" customWidth="1"/>
    <col min="9740" max="9740" width="8.85546875" style="44" customWidth="1"/>
    <col min="9741" max="9741" width="8.28515625" style="44" customWidth="1"/>
    <col min="9742" max="9742" width="9.85546875" style="44" customWidth="1"/>
    <col min="9743" max="9743" width="8.7109375" style="44" customWidth="1"/>
    <col min="9744" max="9984" width="11.42578125" style="44"/>
    <col min="9985" max="9985" width="2.85546875" style="44" customWidth="1"/>
    <col min="9986" max="9986" width="7.28515625" style="44" customWidth="1"/>
    <col min="9987" max="9987" width="9.5703125" style="44" customWidth="1"/>
    <col min="9988" max="9988" width="9.140625" style="44" customWidth="1"/>
    <col min="9989" max="9989" width="8.85546875" style="44" customWidth="1"/>
    <col min="9990" max="9990" width="9.7109375" style="44" customWidth="1"/>
    <col min="9991" max="9991" width="9.42578125" style="44" customWidth="1"/>
    <col min="9992" max="9992" width="10.28515625" style="44" customWidth="1"/>
    <col min="9993" max="9993" width="2.5703125" style="44" customWidth="1"/>
    <col min="9994" max="9994" width="9.140625" style="44" customWidth="1"/>
    <col min="9995" max="9995" width="9.28515625" style="44" customWidth="1"/>
    <col min="9996" max="9996" width="8.85546875" style="44" customWidth="1"/>
    <col min="9997" max="9997" width="8.28515625" style="44" customWidth="1"/>
    <col min="9998" max="9998" width="9.85546875" style="44" customWidth="1"/>
    <col min="9999" max="9999" width="8.7109375" style="44" customWidth="1"/>
    <col min="10000" max="10240" width="11.42578125" style="44"/>
    <col min="10241" max="10241" width="2.85546875" style="44" customWidth="1"/>
    <col min="10242" max="10242" width="7.28515625" style="44" customWidth="1"/>
    <col min="10243" max="10243" width="9.5703125" style="44" customWidth="1"/>
    <col min="10244" max="10244" width="9.140625" style="44" customWidth="1"/>
    <col min="10245" max="10245" width="8.85546875" style="44" customWidth="1"/>
    <col min="10246" max="10246" width="9.7109375" style="44" customWidth="1"/>
    <col min="10247" max="10247" width="9.42578125" style="44" customWidth="1"/>
    <col min="10248" max="10248" width="10.28515625" style="44" customWidth="1"/>
    <col min="10249" max="10249" width="2.5703125" style="44" customWidth="1"/>
    <col min="10250" max="10250" width="9.140625" style="44" customWidth="1"/>
    <col min="10251" max="10251" width="9.28515625" style="44" customWidth="1"/>
    <col min="10252" max="10252" width="8.85546875" style="44" customWidth="1"/>
    <col min="10253" max="10253" width="8.28515625" style="44" customWidth="1"/>
    <col min="10254" max="10254" width="9.85546875" style="44" customWidth="1"/>
    <col min="10255" max="10255" width="8.7109375" style="44" customWidth="1"/>
    <col min="10256" max="10496" width="11.42578125" style="44"/>
    <col min="10497" max="10497" width="2.85546875" style="44" customWidth="1"/>
    <col min="10498" max="10498" width="7.28515625" style="44" customWidth="1"/>
    <col min="10499" max="10499" width="9.5703125" style="44" customWidth="1"/>
    <col min="10500" max="10500" width="9.140625" style="44" customWidth="1"/>
    <col min="10501" max="10501" width="8.85546875" style="44" customWidth="1"/>
    <col min="10502" max="10502" width="9.7109375" style="44" customWidth="1"/>
    <col min="10503" max="10503" width="9.42578125" style="44" customWidth="1"/>
    <col min="10504" max="10504" width="10.28515625" style="44" customWidth="1"/>
    <col min="10505" max="10505" width="2.5703125" style="44" customWidth="1"/>
    <col min="10506" max="10506" width="9.140625" style="44" customWidth="1"/>
    <col min="10507" max="10507" width="9.28515625" style="44" customWidth="1"/>
    <col min="10508" max="10508" width="8.85546875" style="44" customWidth="1"/>
    <col min="10509" max="10509" width="8.28515625" style="44" customWidth="1"/>
    <col min="10510" max="10510" width="9.85546875" style="44" customWidth="1"/>
    <col min="10511" max="10511" width="8.7109375" style="44" customWidth="1"/>
    <col min="10512" max="10752" width="11.42578125" style="44"/>
    <col min="10753" max="10753" width="2.85546875" style="44" customWidth="1"/>
    <col min="10754" max="10754" width="7.28515625" style="44" customWidth="1"/>
    <col min="10755" max="10755" width="9.5703125" style="44" customWidth="1"/>
    <col min="10756" max="10756" width="9.140625" style="44" customWidth="1"/>
    <col min="10757" max="10757" width="8.85546875" style="44" customWidth="1"/>
    <col min="10758" max="10758" width="9.7109375" style="44" customWidth="1"/>
    <col min="10759" max="10759" width="9.42578125" style="44" customWidth="1"/>
    <col min="10760" max="10760" width="10.28515625" style="44" customWidth="1"/>
    <col min="10761" max="10761" width="2.5703125" style="44" customWidth="1"/>
    <col min="10762" max="10762" width="9.140625" style="44" customWidth="1"/>
    <col min="10763" max="10763" width="9.28515625" style="44" customWidth="1"/>
    <col min="10764" max="10764" width="8.85546875" style="44" customWidth="1"/>
    <col min="10765" max="10765" width="8.28515625" style="44" customWidth="1"/>
    <col min="10766" max="10766" width="9.85546875" style="44" customWidth="1"/>
    <col min="10767" max="10767" width="8.7109375" style="44" customWidth="1"/>
    <col min="10768" max="11008" width="11.42578125" style="44"/>
    <col min="11009" max="11009" width="2.85546875" style="44" customWidth="1"/>
    <col min="11010" max="11010" width="7.28515625" style="44" customWidth="1"/>
    <col min="11011" max="11011" width="9.5703125" style="44" customWidth="1"/>
    <col min="11012" max="11012" width="9.140625" style="44" customWidth="1"/>
    <col min="11013" max="11013" width="8.85546875" style="44" customWidth="1"/>
    <col min="11014" max="11014" width="9.7109375" style="44" customWidth="1"/>
    <col min="11015" max="11015" width="9.42578125" style="44" customWidth="1"/>
    <col min="11016" max="11016" width="10.28515625" style="44" customWidth="1"/>
    <col min="11017" max="11017" width="2.5703125" style="44" customWidth="1"/>
    <col min="11018" max="11018" width="9.140625" style="44" customWidth="1"/>
    <col min="11019" max="11019" width="9.28515625" style="44" customWidth="1"/>
    <col min="11020" max="11020" width="8.85546875" style="44" customWidth="1"/>
    <col min="11021" max="11021" width="8.28515625" style="44" customWidth="1"/>
    <col min="11022" max="11022" width="9.85546875" style="44" customWidth="1"/>
    <col min="11023" max="11023" width="8.7109375" style="44" customWidth="1"/>
    <col min="11024" max="11264" width="11.42578125" style="44"/>
    <col min="11265" max="11265" width="2.85546875" style="44" customWidth="1"/>
    <col min="11266" max="11266" width="7.28515625" style="44" customWidth="1"/>
    <col min="11267" max="11267" width="9.5703125" style="44" customWidth="1"/>
    <col min="11268" max="11268" width="9.140625" style="44" customWidth="1"/>
    <col min="11269" max="11269" width="8.85546875" style="44" customWidth="1"/>
    <col min="11270" max="11270" width="9.7109375" style="44" customWidth="1"/>
    <col min="11271" max="11271" width="9.42578125" style="44" customWidth="1"/>
    <col min="11272" max="11272" width="10.28515625" style="44" customWidth="1"/>
    <col min="11273" max="11273" width="2.5703125" style="44" customWidth="1"/>
    <col min="11274" max="11274" width="9.140625" style="44" customWidth="1"/>
    <col min="11275" max="11275" width="9.28515625" style="44" customWidth="1"/>
    <col min="11276" max="11276" width="8.85546875" style="44" customWidth="1"/>
    <col min="11277" max="11277" width="8.28515625" style="44" customWidth="1"/>
    <col min="11278" max="11278" width="9.85546875" style="44" customWidth="1"/>
    <col min="11279" max="11279" width="8.7109375" style="44" customWidth="1"/>
    <col min="11280" max="11520" width="11.42578125" style="44"/>
    <col min="11521" max="11521" width="2.85546875" style="44" customWidth="1"/>
    <col min="11522" max="11522" width="7.28515625" style="44" customWidth="1"/>
    <col min="11523" max="11523" width="9.5703125" style="44" customWidth="1"/>
    <col min="11524" max="11524" width="9.140625" style="44" customWidth="1"/>
    <col min="11525" max="11525" width="8.85546875" style="44" customWidth="1"/>
    <col min="11526" max="11526" width="9.7109375" style="44" customWidth="1"/>
    <col min="11527" max="11527" width="9.42578125" style="44" customWidth="1"/>
    <col min="11528" max="11528" width="10.28515625" style="44" customWidth="1"/>
    <col min="11529" max="11529" width="2.5703125" style="44" customWidth="1"/>
    <col min="11530" max="11530" width="9.140625" style="44" customWidth="1"/>
    <col min="11531" max="11531" width="9.28515625" style="44" customWidth="1"/>
    <col min="11532" max="11532" width="8.85546875" style="44" customWidth="1"/>
    <col min="11533" max="11533" width="8.28515625" style="44" customWidth="1"/>
    <col min="11534" max="11534" width="9.85546875" style="44" customWidth="1"/>
    <col min="11535" max="11535" width="8.7109375" style="44" customWidth="1"/>
    <col min="11536" max="11776" width="11.42578125" style="44"/>
    <col min="11777" max="11777" width="2.85546875" style="44" customWidth="1"/>
    <col min="11778" max="11778" width="7.28515625" style="44" customWidth="1"/>
    <col min="11779" max="11779" width="9.5703125" style="44" customWidth="1"/>
    <col min="11780" max="11780" width="9.140625" style="44" customWidth="1"/>
    <col min="11781" max="11781" width="8.85546875" style="44" customWidth="1"/>
    <col min="11782" max="11782" width="9.7109375" style="44" customWidth="1"/>
    <col min="11783" max="11783" width="9.42578125" style="44" customWidth="1"/>
    <col min="11784" max="11784" width="10.28515625" style="44" customWidth="1"/>
    <col min="11785" max="11785" width="2.5703125" style="44" customWidth="1"/>
    <col min="11786" max="11786" width="9.140625" style="44" customWidth="1"/>
    <col min="11787" max="11787" width="9.28515625" style="44" customWidth="1"/>
    <col min="11788" max="11788" width="8.85546875" style="44" customWidth="1"/>
    <col min="11789" max="11789" width="8.28515625" style="44" customWidth="1"/>
    <col min="11790" max="11790" width="9.85546875" style="44" customWidth="1"/>
    <col min="11791" max="11791" width="8.7109375" style="44" customWidth="1"/>
    <col min="11792" max="12032" width="11.42578125" style="44"/>
    <col min="12033" max="12033" width="2.85546875" style="44" customWidth="1"/>
    <col min="12034" max="12034" width="7.28515625" style="44" customWidth="1"/>
    <col min="12035" max="12035" width="9.5703125" style="44" customWidth="1"/>
    <col min="12036" max="12036" width="9.140625" style="44" customWidth="1"/>
    <col min="12037" max="12037" width="8.85546875" style="44" customWidth="1"/>
    <col min="12038" max="12038" width="9.7109375" style="44" customWidth="1"/>
    <col min="12039" max="12039" width="9.42578125" style="44" customWidth="1"/>
    <col min="12040" max="12040" width="10.28515625" style="44" customWidth="1"/>
    <col min="12041" max="12041" width="2.5703125" style="44" customWidth="1"/>
    <col min="12042" max="12042" width="9.140625" style="44" customWidth="1"/>
    <col min="12043" max="12043" width="9.28515625" style="44" customWidth="1"/>
    <col min="12044" max="12044" width="8.85546875" style="44" customWidth="1"/>
    <col min="12045" max="12045" width="8.28515625" style="44" customWidth="1"/>
    <col min="12046" max="12046" width="9.85546875" style="44" customWidth="1"/>
    <col min="12047" max="12047" width="8.7109375" style="44" customWidth="1"/>
    <col min="12048" max="12288" width="11.42578125" style="44"/>
    <col min="12289" max="12289" width="2.85546875" style="44" customWidth="1"/>
    <col min="12290" max="12290" width="7.28515625" style="44" customWidth="1"/>
    <col min="12291" max="12291" width="9.5703125" style="44" customWidth="1"/>
    <col min="12292" max="12292" width="9.140625" style="44" customWidth="1"/>
    <col min="12293" max="12293" width="8.85546875" style="44" customWidth="1"/>
    <col min="12294" max="12294" width="9.7109375" style="44" customWidth="1"/>
    <col min="12295" max="12295" width="9.42578125" style="44" customWidth="1"/>
    <col min="12296" max="12296" width="10.28515625" style="44" customWidth="1"/>
    <col min="12297" max="12297" width="2.5703125" style="44" customWidth="1"/>
    <col min="12298" max="12298" width="9.140625" style="44" customWidth="1"/>
    <col min="12299" max="12299" width="9.28515625" style="44" customWidth="1"/>
    <col min="12300" max="12300" width="8.85546875" style="44" customWidth="1"/>
    <col min="12301" max="12301" width="8.28515625" style="44" customWidth="1"/>
    <col min="12302" max="12302" width="9.85546875" style="44" customWidth="1"/>
    <col min="12303" max="12303" width="8.7109375" style="44" customWidth="1"/>
    <col min="12304" max="12544" width="11.42578125" style="44"/>
    <col min="12545" max="12545" width="2.85546875" style="44" customWidth="1"/>
    <col min="12546" max="12546" width="7.28515625" style="44" customWidth="1"/>
    <col min="12547" max="12547" width="9.5703125" style="44" customWidth="1"/>
    <col min="12548" max="12548" width="9.140625" style="44" customWidth="1"/>
    <col min="12549" max="12549" width="8.85546875" style="44" customWidth="1"/>
    <col min="12550" max="12550" width="9.7109375" style="44" customWidth="1"/>
    <col min="12551" max="12551" width="9.42578125" style="44" customWidth="1"/>
    <col min="12552" max="12552" width="10.28515625" style="44" customWidth="1"/>
    <col min="12553" max="12553" width="2.5703125" style="44" customWidth="1"/>
    <col min="12554" max="12554" width="9.140625" style="44" customWidth="1"/>
    <col min="12555" max="12555" width="9.28515625" style="44" customWidth="1"/>
    <col min="12556" max="12556" width="8.85546875" style="44" customWidth="1"/>
    <col min="12557" max="12557" width="8.28515625" style="44" customWidth="1"/>
    <col min="12558" max="12558" width="9.85546875" style="44" customWidth="1"/>
    <col min="12559" max="12559" width="8.7109375" style="44" customWidth="1"/>
    <col min="12560" max="12800" width="11.42578125" style="44"/>
    <col min="12801" max="12801" width="2.85546875" style="44" customWidth="1"/>
    <col min="12802" max="12802" width="7.28515625" style="44" customWidth="1"/>
    <col min="12803" max="12803" width="9.5703125" style="44" customWidth="1"/>
    <col min="12804" max="12804" width="9.140625" style="44" customWidth="1"/>
    <col min="12805" max="12805" width="8.85546875" style="44" customWidth="1"/>
    <col min="12806" max="12806" width="9.7109375" style="44" customWidth="1"/>
    <col min="12807" max="12807" width="9.42578125" style="44" customWidth="1"/>
    <col min="12808" max="12808" width="10.28515625" style="44" customWidth="1"/>
    <col min="12809" max="12809" width="2.5703125" style="44" customWidth="1"/>
    <col min="12810" max="12810" width="9.140625" style="44" customWidth="1"/>
    <col min="12811" max="12811" width="9.28515625" style="44" customWidth="1"/>
    <col min="12812" max="12812" width="8.85546875" style="44" customWidth="1"/>
    <col min="12813" max="12813" width="8.28515625" style="44" customWidth="1"/>
    <col min="12814" max="12814" width="9.85546875" style="44" customWidth="1"/>
    <col min="12815" max="12815" width="8.7109375" style="44" customWidth="1"/>
    <col min="12816" max="13056" width="11.42578125" style="44"/>
    <col min="13057" max="13057" width="2.85546875" style="44" customWidth="1"/>
    <col min="13058" max="13058" width="7.28515625" style="44" customWidth="1"/>
    <col min="13059" max="13059" width="9.5703125" style="44" customWidth="1"/>
    <col min="13060" max="13060" width="9.140625" style="44" customWidth="1"/>
    <col min="13061" max="13061" width="8.85546875" style="44" customWidth="1"/>
    <col min="13062" max="13062" width="9.7109375" style="44" customWidth="1"/>
    <col min="13063" max="13063" width="9.42578125" style="44" customWidth="1"/>
    <col min="13064" max="13064" width="10.28515625" style="44" customWidth="1"/>
    <col min="13065" max="13065" width="2.5703125" style="44" customWidth="1"/>
    <col min="13066" max="13066" width="9.140625" style="44" customWidth="1"/>
    <col min="13067" max="13067" width="9.28515625" style="44" customWidth="1"/>
    <col min="13068" max="13068" width="8.85546875" style="44" customWidth="1"/>
    <col min="13069" max="13069" width="8.28515625" style="44" customWidth="1"/>
    <col min="13070" max="13070" width="9.85546875" style="44" customWidth="1"/>
    <col min="13071" max="13071" width="8.7109375" style="44" customWidth="1"/>
    <col min="13072" max="13312" width="11.42578125" style="44"/>
    <col min="13313" max="13313" width="2.85546875" style="44" customWidth="1"/>
    <col min="13314" max="13314" width="7.28515625" style="44" customWidth="1"/>
    <col min="13315" max="13315" width="9.5703125" style="44" customWidth="1"/>
    <col min="13316" max="13316" width="9.140625" style="44" customWidth="1"/>
    <col min="13317" max="13317" width="8.85546875" style="44" customWidth="1"/>
    <col min="13318" max="13318" width="9.7109375" style="44" customWidth="1"/>
    <col min="13319" max="13319" width="9.42578125" style="44" customWidth="1"/>
    <col min="13320" max="13320" width="10.28515625" style="44" customWidth="1"/>
    <col min="13321" max="13321" width="2.5703125" style="44" customWidth="1"/>
    <col min="13322" max="13322" width="9.140625" style="44" customWidth="1"/>
    <col min="13323" max="13323" width="9.28515625" style="44" customWidth="1"/>
    <col min="13324" max="13324" width="8.85546875" style="44" customWidth="1"/>
    <col min="13325" max="13325" width="8.28515625" style="44" customWidth="1"/>
    <col min="13326" max="13326" width="9.85546875" style="44" customWidth="1"/>
    <col min="13327" max="13327" width="8.7109375" style="44" customWidth="1"/>
    <col min="13328" max="13568" width="11.42578125" style="44"/>
    <col min="13569" max="13569" width="2.85546875" style="44" customWidth="1"/>
    <col min="13570" max="13570" width="7.28515625" style="44" customWidth="1"/>
    <col min="13571" max="13571" width="9.5703125" style="44" customWidth="1"/>
    <col min="13572" max="13572" width="9.140625" style="44" customWidth="1"/>
    <col min="13573" max="13573" width="8.85546875" style="44" customWidth="1"/>
    <col min="13574" max="13574" width="9.7109375" style="44" customWidth="1"/>
    <col min="13575" max="13575" width="9.42578125" style="44" customWidth="1"/>
    <col min="13576" max="13576" width="10.28515625" style="44" customWidth="1"/>
    <col min="13577" max="13577" width="2.5703125" style="44" customWidth="1"/>
    <col min="13578" max="13578" width="9.140625" style="44" customWidth="1"/>
    <col min="13579" max="13579" width="9.28515625" style="44" customWidth="1"/>
    <col min="13580" max="13580" width="8.85546875" style="44" customWidth="1"/>
    <col min="13581" max="13581" width="8.28515625" style="44" customWidth="1"/>
    <col min="13582" max="13582" width="9.85546875" style="44" customWidth="1"/>
    <col min="13583" max="13583" width="8.7109375" style="44" customWidth="1"/>
    <col min="13584" max="13824" width="11.42578125" style="44"/>
    <col min="13825" max="13825" width="2.85546875" style="44" customWidth="1"/>
    <col min="13826" max="13826" width="7.28515625" style="44" customWidth="1"/>
    <col min="13827" max="13827" width="9.5703125" style="44" customWidth="1"/>
    <col min="13828" max="13828" width="9.140625" style="44" customWidth="1"/>
    <col min="13829" max="13829" width="8.85546875" style="44" customWidth="1"/>
    <col min="13830" max="13830" width="9.7109375" style="44" customWidth="1"/>
    <col min="13831" max="13831" width="9.42578125" style="44" customWidth="1"/>
    <col min="13832" max="13832" width="10.28515625" style="44" customWidth="1"/>
    <col min="13833" max="13833" width="2.5703125" style="44" customWidth="1"/>
    <col min="13834" max="13834" width="9.140625" style="44" customWidth="1"/>
    <col min="13835" max="13835" width="9.28515625" style="44" customWidth="1"/>
    <col min="13836" max="13836" width="8.85546875" style="44" customWidth="1"/>
    <col min="13837" max="13837" width="8.28515625" style="44" customWidth="1"/>
    <col min="13838" max="13838" width="9.85546875" style="44" customWidth="1"/>
    <col min="13839" max="13839" width="8.7109375" style="44" customWidth="1"/>
    <col min="13840" max="14080" width="11.42578125" style="44"/>
    <col min="14081" max="14081" width="2.85546875" style="44" customWidth="1"/>
    <col min="14082" max="14082" width="7.28515625" style="44" customWidth="1"/>
    <col min="14083" max="14083" width="9.5703125" style="44" customWidth="1"/>
    <col min="14084" max="14084" width="9.140625" style="44" customWidth="1"/>
    <col min="14085" max="14085" width="8.85546875" style="44" customWidth="1"/>
    <col min="14086" max="14086" width="9.7109375" style="44" customWidth="1"/>
    <col min="14087" max="14087" width="9.42578125" style="44" customWidth="1"/>
    <col min="14088" max="14088" width="10.28515625" style="44" customWidth="1"/>
    <col min="14089" max="14089" width="2.5703125" style="44" customWidth="1"/>
    <col min="14090" max="14090" width="9.140625" style="44" customWidth="1"/>
    <col min="14091" max="14091" width="9.28515625" style="44" customWidth="1"/>
    <col min="14092" max="14092" width="8.85546875" style="44" customWidth="1"/>
    <col min="14093" max="14093" width="8.28515625" style="44" customWidth="1"/>
    <col min="14094" max="14094" width="9.85546875" style="44" customWidth="1"/>
    <col min="14095" max="14095" width="8.7109375" style="44" customWidth="1"/>
    <col min="14096" max="14336" width="11.42578125" style="44"/>
    <col min="14337" max="14337" width="2.85546875" style="44" customWidth="1"/>
    <col min="14338" max="14338" width="7.28515625" style="44" customWidth="1"/>
    <col min="14339" max="14339" width="9.5703125" style="44" customWidth="1"/>
    <col min="14340" max="14340" width="9.140625" style="44" customWidth="1"/>
    <col min="14341" max="14341" width="8.85546875" style="44" customWidth="1"/>
    <col min="14342" max="14342" width="9.7109375" style="44" customWidth="1"/>
    <col min="14343" max="14343" width="9.42578125" style="44" customWidth="1"/>
    <col min="14344" max="14344" width="10.28515625" style="44" customWidth="1"/>
    <col min="14345" max="14345" width="2.5703125" style="44" customWidth="1"/>
    <col min="14346" max="14346" width="9.140625" style="44" customWidth="1"/>
    <col min="14347" max="14347" width="9.28515625" style="44" customWidth="1"/>
    <col min="14348" max="14348" width="8.85546875" style="44" customWidth="1"/>
    <col min="14349" max="14349" width="8.28515625" style="44" customWidth="1"/>
    <col min="14350" max="14350" width="9.85546875" style="44" customWidth="1"/>
    <col min="14351" max="14351" width="8.7109375" style="44" customWidth="1"/>
    <col min="14352" max="14592" width="11.42578125" style="44"/>
    <col min="14593" max="14593" width="2.85546875" style="44" customWidth="1"/>
    <col min="14594" max="14594" width="7.28515625" style="44" customWidth="1"/>
    <col min="14595" max="14595" width="9.5703125" style="44" customWidth="1"/>
    <col min="14596" max="14596" width="9.140625" style="44" customWidth="1"/>
    <col min="14597" max="14597" width="8.85546875" style="44" customWidth="1"/>
    <col min="14598" max="14598" width="9.7109375" style="44" customWidth="1"/>
    <col min="14599" max="14599" width="9.42578125" style="44" customWidth="1"/>
    <col min="14600" max="14600" width="10.28515625" style="44" customWidth="1"/>
    <col min="14601" max="14601" width="2.5703125" style="44" customWidth="1"/>
    <col min="14602" max="14602" width="9.140625" style="44" customWidth="1"/>
    <col min="14603" max="14603" width="9.28515625" style="44" customWidth="1"/>
    <col min="14604" max="14604" width="8.85546875" style="44" customWidth="1"/>
    <col min="14605" max="14605" width="8.28515625" style="44" customWidth="1"/>
    <col min="14606" max="14606" width="9.85546875" style="44" customWidth="1"/>
    <col min="14607" max="14607" width="8.7109375" style="44" customWidth="1"/>
    <col min="14608" max="14848" width="11.42578125" style="44"/>
    <col min="14849" max="14849" width="2.85546875" style="44" customWidth="1"/>
    <col min="14850" max="14850" width="7.28515625" style="44" customWidth="1"/>
    <col min="14851" max="14851" width="9.5703125" style="44" customWidth="1"/>
    <col min="14852" max="14852" width="9.140625" style="44" customWidth="1"/>
    <col min="14853" max="14853" width="8.85546875" style="44" customWidth="1"/>
    <col min="14854" max="14854" width="9.7109375" style="44" customWidth="1"/>
    <col min="14855" max="14855" width="9.42578125" style="44" customWidth="1"/>
    <col min="14856" max="14856" width="10.28515625" style="44" customWidth="1"/>
    <col min="14857" max="14857" width="2.5703125" style="44" customWidth="1"/>
    <col min="14858" max="14858" width="9.140625" style="44" customWidth="1"/>
    <col min="14859" max="14859" width="9.28515625" style="44" customWidth="1"/>
    <col min="14860" max="14860" width="8.85546875" style="44" customWidth="1"/>
    <col min="14861" max="14861" width="8.28515625" style="44" customWidth="1"/>
    <col min="14862" max="14862" width="9.85546875" style="44" customWidth="1"/>
    <col min="14863" max="14863" width="8.7109375" style="44" customWidth="1"/>
    <col min="14864" max="15104" width="11.42578125" style="44"/>
    <col min="15105" max="15105" width="2.85546875" style="44" customWidth="1"/>
    <col min="15106" max="15106" width="7.28515625" style="44" customWidth="1"/>
    <col min="15107" max="15107" width="9.5703125" style="44" customWidth="1"/>
    <col min="15108" max="15108" width="9.140625" style="44" customWidth="1"/>
    <col min="15109" max="15109" width="8.85546875" style="44" customWidth="1"/>
    <col min="15110" max="15110" width="9.7109375" style="44" customWidth="1"/>
    <col min="15111" max="15111" width="9.42578125" style="44" customWidth="1"/>
    <col min="15112" max="15112" width="10.28515625" style="44" customWidth="1"/>
    <col min="15113" max="15113" width="2.5703125" style="44" customWidth="1"/>
    <col min="15114" max="15114" width="9.140625" style="44" customWidth="1"/>
    <col min="15115" max="15115" width="9.28515625" style="44" customWidth="1"/>
    <col min="15116" max="15116" width="8.85546875" style="44" customWidth="1"/>
    <col min="15117" max="15117" width="8.28515625" style="44" customWidth="1"/>
    <col min="15118" max="15118" width="9.85546875" style="44" customWidth="1"/>
    <col min="15119" max="15119" width="8.7109375" style="44" customWidth="1"/>
    <col min="15120" max="15360" width="11.42578125" style="44"/>
    <col min="15361" max="15361" width="2.85546875" style="44" customWidth="1"/>
    <col min="15362" max="15362" width="7.28515625" style="44" customWidth="1"/>
    <col min="15363" max="15363" width="9.5703125" style="44" customWidth="1"/>
    <col min="15364" max="15364" width="9.140625" style="44" customWidth="1"/>
    <col min="15365" max="15365" width="8.85546875" style="44" customWidth="1"/>
    <col min="15366" max="15366" width="9.7109375" style="44" customWidth="1"/>
    <col min="15367" max="15367" width="9.42578125" style="44" customWidth="1"/>
    <col min="15368" max="15368" width="10.28515625" style="44" customWidth="1"/>
    <col min="15369" max="15369" width="2.5703125" style="44" customWidth="1"/>
    <col min="15370" max="15370" width="9.140625" style="44" customWidth="1"/>
    <col min="15371" max="15371" width="9.28515625" style="44" customWidth="1"/>
    <col min="15372" max="15372" width="8.85546875" style="44" customWidth="1"/>
    <col min="15373" max="15373" width="8.28515625" style="44" customWidth="1"/>
    <col min="15374" max="15374" width="9.85546875" style="44" customWidth="1"/>
    <col min="15375" max="15375" width="8.7109375" style="44" customWidth="1"/>
    <col min="15376" max="15616" width="11.42578125" style="44"/>
    <col min="15617" max="15617" width="2.85546875" style="44" customWidth="1"/>
    <col min="15618" max="15618" width="7.28515625" style="44" customWidth="1"/>
    <col min="15619" max="15619" width="9.5703125" style="44" customWidth="1"/>
    <col min="15620" max="15620" width="9.140625" style="44" customWidth="1"/>
    <col min="15621" max="15621" width="8.85546875" style="44" customWidth="1"/>
    <col min="15622" max="15622" width="9.7109375" style="44" customWidth="1"/>
    <col min="15623" max="15623" width="9.42578125" style="44" customWidth="1"/>
    <col min="15624" max="15624" width="10.28515625" style="44" customWidth="1"/>
    <col min="15625" max="15625" width="2.5703125" style="44" customWidth="1"/>
    <col min="15626" max="15626" width="9.140625" style="44" customWidth="1"/>
    <col min="15627" max="15627" width="9.28515625" style="44" customWidth="1"/>
    <col min="15628" max="15628" width="8.85546875" style="44" customWidth="1"/>
    <col min="15629" max="15629" width="8.28515625" style="44" customWidth="1"/>
    <col min="15630" max="15630" width="9.85546875" style="44" customWidth="1"/>
    <col min="15631" max="15631" width="8.7109375" style="44" customWidth="1"/>
    <col min="15632" max="15872" width="11.42578125" style="44"/>
    <col min="15873" max="15873" width="2.85546875" style="44" customWidth="1"/>
    <col min="15874" max="15874" width="7.28515625" style="44" customWidth="1"/>
    <col min="15875" max="15875" width="9.5703125" style="44" customWidth="1"/>
    <col min="15876" max="15876" width="9.140625" style="44" customWidth="1"/>
    <col min="15877" max="15877" width="8.85546875" style="44" customWidth="1"/>
    <col min="15878" max="15878" width="9.7109375" style="44" customWidth="1"/>
    <col min="15879" max="15879" width="9.42578125" style="44" customWidth="1"/>
    <col min="15880" max="15880" width="10.28515625" style="44" customWidth="1"/>
    <col min="15881" max="15881" width="2.5703125" style="44" customWidth="1"/>
    <col min="15882" max="15882" width="9.140625" style="44" customWidth="1"/>
    <col min="15883" max="15883" width="9.28515625" style="44" customWidth="1"/>
    <col min="15884" max="15884" width="8.85546875" style="44" customWidth="1"/>
    <col min="15885" max="15885" width="8.28515625" style="44" customWidth="1"/>
    <col min="15886" max="15886" width="9.85546875" style="44" customWidth="1"/>
    <col min="15887" max="15887" width="8.7109375" style="44" customWidth="1"/>
    <col min="15888" max="16128" width="11.42578125" style="44"/>
    <col min="16129" max="16129" width="2.85546875" style="44" customWidth="1"/>
    <col min="16130" max="16130" width="7.28515625" style="44" customWidth="1"/>
    <col min="16131" max="16131" width="9.5703125" style="44" customWidth="1"/>
    <col min="16132" max="16132" width="9.140625" style="44" customWidth="1"/>
    <col min="16133" max="16133" width="8.85546875" style="44" customWidth="1"/>
    <col min="16134" max="16134" width="9.7109375" style="44" customWidth="1"/>
    <col min="16135" max="16135" width="9.42578125" style="44" customWidth="1"/>
    <col min="16136" max="16136" width="10.28515625" style="44" customWidth="1"/>
    <col min="16137" max="16137" width="2.5703125" style="44" customWidth="1"/>
    <col min="16138" max="16138" width="9.140625" style="44" customWidth="1"/>
    <col min="16139" max="16139" width="9.28515625" style="44" customWidth="1"/>
    <col min="16140" max="16140" width="8.85546875" style="44" customWidth="1"/>
    <col min="16141" max="16141" width="8.28515625" style="44" customWidth="1"/>
    <col min="16142" max="16142" width="9.85546875" style="44" customWidth="1"/>
    <col min="16143" max="16143" width="8.7109375" style="44" customWidth="1"/>
    <col min="16144" max="16384" width="11.42578125" style="44"/>
  </cols>
  <sheetData>
    <row r="2" spans="2:15" s="354" customFormat="1" ht="12.75" x14ac:dyDescent="0.2">
      <c r="B2" s="354" t="s">
        <v>130</v>
      </c>
      <c r="M2" s="355"/>
      <c r="N2" s="355"/>
      <c r="O2" s="355"/>
    </row>
    <row r="4" spans="2:15" x14ac:dyDescent="0.25">
      <c r="B4" s="44" t="s">
        <v>131</v>
      </c>
    </row>
    <row r="7" spans="2:15" ht="15.75" thickBot="1" x14ac:dyDescent="0.3"/>
    <row r="8" spans="2:15" ht="15.75" thickBot="1" x14ac:dyDescent="0.3">
      <c r="B8" s="357"/>
      <c r="C8" s="724" t="s">
        <v>132</v>
      </c>
      <c r="D8" s="725"/>
      <c r="E8" s="726"/>
      <c r="F8" s="724" t="s">
        <v>133</v>
      </c>
      <c r="G8" s="725"/>
      <c r="H8" s="727"/>
      <c r="I8" s="358"/>
      <c r="J8" s="724" t="s">
        <v>134</v>
      </c>
      <c r="K8" s="725"/>
      <c r="L8" s="727"/>
      <c r="M8" s="728" t="s">
        <v>135</v>
      </c>
      <c r="N8" s="729"/>
      <c r="O8" s="730"/>
    </row>
    <row r="9" spans="2:15" ht="15.75" thickBot="1" x14ac:dyDescent="0.3">
      <c r="B9" s="65" t="s">
        <v>66</v>
      </c>
      <c r="C9" s="359" t="s">
        <v>136</v>
      </c>
      <c r="D9" s="360" t="s">
        <v>137</v>
      </c>
      <c r="E9" s="361" t="s">
        <v>138</v>
      </c>
      <c r="F9" s="362" t="s">
        <v>136</v>
      </c>
      <c r="G9" s="363" t="s">
        <v>137</v>
      </c>
      <c r="H9" s="364" t="s">
        <v>138</v>
      </c>
      <c r="I9" s="358"/>
      <c r="J9" s="362" t="s">
        <v>22</v>
      </c>
      <c r="K9" s="363" t="s">
        <v>23</v>
      </c>
      <c r="L9" s="364" t="s">
        <v>82</v>
      </c>
      <c r="M9" s="365" t="s">
        <v>22</v>
      </c>
      <c r="N9" s="366" t="s">
        <v>23</v>
      </c>
      <c r="O9" s="367" t="s">
        <v>82</v>
      </c>
    </row>
    <row r="10" spans="2:15" ht="15.75" thickBot="1" x14ac:dyDescent="0.3">
      <c r="B10" s="11"/>
      <c r="C10" s="368" t="s">
        <v>93</v>
      </c>
      <c r="D10" s="369" t="s">
        <v>93</v>
      </c>
      <c r="E10" s="370" t="s">
        <v>93</v>
      </c>
      <c r="F10" s="371" t="s">
        <v>93</v>
      </c>
      <c r="G10" s="369" t="s">
        <v>93</v>
      </c>
      <c r="H10" s="370" t="s">
        <v>93</v>
      </c>
      <c r="I10" s="372"/>
      <c r="J10" s="371" t="s">
        <v>93</v>
      </c>
      <c r="K10" s="369" t="s">
        <v>93</v>
      </c>
      <c r="L10" s="370" t="s">
        <v>93</v>
      </c>
      <c r="M10" s="371" t="s">
        <v>93</v>
      </c>
      <c r="N10" s="369" t="s">
        <v>93</v>
      </c>
      <c r="O10" s="370" t="s">
        <v>93</v>
      </c>
    </row>
    <row r="11" spans="2:15" ht="15.75" thickBot="1" x14ac:dyDescent="0.3">
      <c r="B11" s="373"/>
      <c r="C11" s="374"/>
      <c r="D11" s="375"/>
      <c r="E11" s="376"/>
      <c r="F11" s="377"/>
      <c r="G11" s="378"/>
      <c r="H11" s="88"/>
      <c r="I11" s="379"/>
      <c r="J11" s="380"/>
      <c r="K11" s="381"/>
      <c r="L11" s="382"/>
      <c r="M11" s="383"/>
      <c r="N11" s="375"/>
      <c r="O11" s="376"/>
    </row>
    <row r="12" spans="2:15" x14ac:dyDescent="0.25">
      <c r="B12" s="384">
        <f>year</f>
        <v>1950</v>
      </c>
      <c r="C12" s="385">
        <f>Stored_C!E16</f>
        <v>0</v>
      </c>
      <c r="D12" s="386">
        <f>Stored_C!F16+Stored_C!L16</f>
        <v>89.467199999999991</v>
      </c>
      <c r="E12" s="387">
        <f>Stored_C!G16+Stored_C!M16</f>
        <v>33.088499999999996</v>
      </c>
      <c r="F12" s="388">
        <f>F11+HWP!C12</f>
        <v>0</v>
      </c>
      <c r="G12" s="386">
        <f>G11+HWP!D12</f>
        <v>89.467199999999991</v>
      </c>
      <c r="H12" s="387">
        <f>H11+HWP!E12</f>
        <v>33.088499999999996</v>
      </c>
      <c r="I12" s="379"/>
      <c r="J12" s="389">
        <f>Garden!J19</f>
        <v>0</v>
      </c>
      <c r="K12" s="390">
        <f>Paper!J19</f>
        <v>0</v>
      </c>
      <c r="L12" s="391">
        <f>Wood!J19</f>
        <v>0</v>
      </c>
      <c r="M12" s="392">
        <f>J12*(1-Recovery_OX!E12)*(1-Recovery_OX!F12)</f>
        <v>0</v>
      </c>
      <c r="N12" s="390">
        <f>K12*(1-Recovery_OX!E12)*(1-Recovery_OX!F12)</f>
        <v>0</v>
      </c>
      <c r="O12" s="391">
        <f>L12*(1-Recovery_OX!E12)*(1-Recovery_OX!F12)</f>
        <v>0</v>
      </c>
    </row>
    <row r="13" spans="2:15" x14ac:dyDescent="0.25">
      <c r="B13" s="393">
        <f>B12+1</f>
        <v>1951</v>
      </c>
      <c r="C13" s="394">
        <f>Stored_C!E17</f>
        <v>0</v>
      </c>
      <c r="D13" s="395">
        <f>Stored_C!F17+Stored_C!L17</f>
        <v>89.467199999999991</v>
      </c>
      <c r="E13" s="396">
        <f>Stored_C!G17+Stored_C!M17</f>
        <v>33.088499999999996</v>
      </c>
      <c r="F13" s="397">
        <f>F12+HWP!C13</f>
        <v>0</v>
      </c>
      <c r="G13" s="395">
        <f>G12+HWP!D13</f>
        <v>178.93439999999998</v>
      </c>
      <c r="H13" s="396">
        <f>H12+HWP!E13</f>
        <v>66.176999999999992</v>
      </c>
      <c r="I13" s="379"/>
      <c r="J13" s="398">
        <f>Garden!J20</f>
        <v>0</v>
      </c>
      <c r="K13" s="399">
        <f>Paper!J20</f>
        <v>3.8207870220016216</v>
      </c>
      <c r="L13" s="400">
        <f>Wood!J20</f>
        <v>0.71713617299880439</v>
      </c>
      <c r="M13" s="401">
        <f>J13*(1-Recovery_OX!E13)*(1-Recovery_OX!F13)</f>
        <v>0</v>
      </c>
      <c r="N13" s="399">
        <f>K13*(1-Recovery_OX!E13)*(1-Recovery_OX!F13)</f>
        <v>3.4387083198014596</v>
      </c>
      <c r="O13" s="400">
        <f>L13*(1-Recovery_OX!E13)*(1-Recovery_OX!F13)</f>
        <v>0.64542255569892393</v>
      </c>
    </row>
    <row r="14" spans="2:15" x14ac:dyDescent="0.25">
      <c r="B14" s="393">
        <f t="shared" ref="B14:B77" si="0">B13+1</f>
        <v>1952</v>
      </c>
      <c r="C14" s="394">
        <f>Stored_C!E18</f>
        <v>0</v>
      </c>
      <c r="D14" s="395">
        <f>Stored_C!F18+Stored_C!L18</f>
        <v>89.467199999999991</v>
      </c>
      <c r="E14" s="396">
        <f>Stored_C!G18+Stored_C!M18</f>
        <v>33.088499999999996</v>
      </c>
      <c r="F14" s="397">
        <f>F13+HWP!C14</f>
        <v>0</v>
      </c>
      <c r="G14" s="395">
        <f>G13+HWP!D14</f>
        <v>268.40159999999997</v>
      </c>
      <c r="H14" s="396">
        <f>H13+HWP!E14</f>
        <v>99.265499999999989</v>
      </c>
      <c r="I14" s="379"/>
      <c r="J14" s="398">
        <f>Garden!J21</f>
        <v>0</v>
      </c>
      <c r="K14" s="399">
        <f>Paper!J21</f>
        <v>7.4190687297017295</v>
      </c>
      <c r="L14" s="400">
        <f>Wood!J21</f>
        <v>1.4130777690315643</v>
      </c>
      <c r="M14" s="401">
        <f>J14*(1-Recovery_OX!E14)*(1-Recovery_OX!F14)</f>
        <v>0</v>
      </c>
      <c r="N14" s="399">
        <f>K14*(1-Recovery_OX!E14)*(1-Recovery_OX!F14)</f>
        <v>6.6771618567315567</v>
      </c>
      <c r="O14" s="400">
        <f>L14*(1-Recovery_OX!E14)*(1-Recovery_OX!F14)</f>
        <v>1.271769992128408</v>
      </c>
    </row>
    <row r="15" spans="2:15" x14ac:dyDescent="0.25">
      <c r="B15" s="393">
        <f t="shared" si="0"/>
        <v>1953</v>
      </c>
      <c r="C15" s="394">
        <f>Stored_C!E19</f>
        <v>0</v>
      </c>
      <c r="D15" s="395">
        <f>Stored_C!F19+Stored_C!L19</f>
        <v>89.467199999999991</v>
      </c>
      <c r="E15" s="396">
        <f>Stored_C!G19+Stored_C!M19</f>
        <v>33.088499999999996</v>
      </c>
      <c r="F15" s="397">
        <f>F14+HWP!C15</f>
        <v>0</v>
      </c>
      <c r="G15" s="395">
        <f>G14+HWP!D15</f>
        <v>357.86879999999996</v>
      </c>
      <c r="H15" s="396">
        <f>H14+HWP!E15</f>
        <v>132.35399999999998</v>
      </c>
      <c r="I15" s="379"/>
      <c r="J15" s="398">
        <f>Garden!J22</f>
        <v>0</v>
      </c>
      <c r="K15" s="399">
        <f>Paper!J22</f>
        <v>10.807802823858655</v>
      </c>
      <c r="L15" s="400">
        <f>Wood!J22</f>
        <v>2.0884511825121765</v>
      </c>
      <c r="M15" s="401">
        <f>J15*(1-Recovery_OX!E15)*(1-Recovery_OX!F15)</f>
        <v>0</v>
      </c>
      <c r="N15" s="399">
        <f>K15*(1-Recovery_OX!E15)*(1-Recovery_OX!F15)</f>
        <v>9.72702254147279</v>
      </c>
      <c r="O15" s="400">
        <f>L15*(1-Recovery_OX!E15)*(1-Recovery_OX!F15)</f>
        <v>1.8796060642609589</v>
      </c>
    </row>
    <row r="16" spans="2:15" x14ac:dyDescent="0.25">
      <c r="B16" s="393">
        <f t="shared" si="0"/>
        <v>1954</v>
      </c>
      <c r="C16" s="394">
        <f>Stored_C!E20</f>
        <v>0</v>
      </c>
      <c r="D16" s="395">
        <f>Stored_C!F20+Stored_C!L20</f>
        <v>89.467199999999991</v>
      </c>
      <c r="E16" s="396">
        <f>Stored_C!G20+Stored_C!M20</f>
        <v>33.088499999999996</v>
      </c>
      <c r="F16" s="397">
        <f>F15+HWP!C16</f>
        <v>0</v>
      </c>
      <c r="G16" s="395">
        <f>G15+HWP!D16</f>
        <v>447.33599999999996</v>
      </c>
      <c r="H16" s="396">
        <f>H15+HWP!E16</f>
        <v>165.4425</v>
      </c>
      <c r="I16" s="379"/>
      <c r="J16" s="398">
        <f>Garden!J23</f>
        <v>0</v>
      </c>
      <c r="K16" s="399">
        <f>Paper!J23</f>
        <v>13.999192407483394</v>
      </c>
      <c r="L16" s="400">
        <f>Wood!J23</f>
        <v>2.7438642951018464</v>
      </c>
      <c r="M16" s="401">
        <f>J16*(1-Recovery_OX!E16)*(1-Recovery_OX!F16)</f>
        <v>0</v>
      </c>
      <c r="N16" s="399">
        <f>K16*(1-Recovery_OX!E16)*(1-Recovery_OX!F16)</f>
        <v>12.599273166735054</v>
      </c>
      <c r="O16" s="400">
        <f>L16*(1-Recovery_OX!E16)*(1-Recovery_OX!F16)</f>
        <v>2.4694778655916618</v>
      </c>
    </row>
    <row r="17" spans="2:15" x14ac:dyDescent="0.25">
      <c r="B17" s="393">
        <f t="shared" si="0"/>
        <v>1955</v>
      </c>
      <c r="C17" s="394">
        <f>Stored_C!E21</f>
        <v>0</v>
      </c>
      <c r="D17" s="395">
        <f>Stored_C!F21+Stored_C!L21</f>
        <v>89.467199999999991</v>
      </c>
      <c r="E17" s="396">
        <f>Stored_C!G21+Stored_C!M21</f>
        <v>33.088499999999996</v>
      </c>
      <c r="F17" s="397">
        <f>F16+HWP!C17</f>
        <v>0</v>
      </c>
      <c r="G17" s="395">
        <f>G16+HWP!D17</f>
        <v>536.80319999999995</v>
      </c>
      <c r="H17" s="396">
        <f>H16+HWP!E17</f>
        <v>198.53100000000001</v>
      </c>
      <c r="I17" s="379"/>
      <c r="J17" s="398">
        <f>Garden!J24</f>
        <v>0</v>
      </c>
      <c r="K17" s="399">
        <f>Paper!J24</f>
        <v>17.004729930191374</v>
      </c>
      <c r="L17" s="400">
        <f>Wood!J24</f>
        <v>3.379907022843617</v>
      </c>
      <c r="M17" s="401">
        <f>J17*(1-Recovery_OX!E17)*(1-Recovery_OX!F17)</f>
        <v>0</v>
      </c>
      <c r="N17" s="399">
        <f>K17*(1-Recovery_OX!E17)*(1-Recovery_OX!F17)</f>
        <v>15.304256937172237</v>
      </c>
      <c r="O17" s="400">
        <f>L17*(1-Recovery_OX!E17)*(1-Recovery_OX!F17)</f>
        <v>3.0419163205592552</v>
      </c>
    </row>
    <row r="18" spans="2:15" x14ac:dyDescent="0.25">
      <c r="B18" s="393">
        <f t="shared" si="0"/>
        <v>1956</v>
      </c>
      <c r="C18" s="394">
        <f>Stored_C!E22</f>
        <v>0</v>
      </c>
      <c r="D18" s="395">
        <f>Stored_C!F22+Stored_C!L22</f>
        <v>89.467199999999991</v>
      </c>
      <c r="E18" s="396">
        <f>Stored_C!G22+Stored_C!M22</f>
        <v>33.088499999999996</v>
      </c>
      <c r="F18" s="397">
        <f>F17+HWP!C18</f>
        <v>0</v>
      </c>
      <c r="G18" s="395">
        <f>G17+HWP!D18</f>
        <v>626.27039999999988</v>
      </c>
      <c r="H18" s="396">
        <f>H17+HWP!E18</f>
        <v>231.61950000000002</v>
      </c>
      <c r="I18" s="379"/>
      <c r="J18" s="398">
        <f>Garden!J25</f>
        <v>0</v>
      </c>
      <c r="K18" s="399">
        <f>Paper!J25</f>
        <v>19.835238573434417</v>
      </c>
      <c r="L18" s="400">
        <f>Wood!J25</f>
        <v>3.9971518471266276</v>
      </c>
      <c r="M18" s="401">
        <f>J18*(1-Recovery_OX!E18)*(1-Recovery_OX!F18)</f>
        <v>0</v>
      </c>
      <c r="N18" s="399">
        <f>K18*(1-Recovery_OX!E18)*(1-Recovery_OX!F18)</f>
        <v>17.851714716090974</v>
      </c>
      <c r="O18" s="400">
        <f>L18*(1-Recovery_OX!E18)*(1-Recovery_OX!F18)</f>
        <v>3.5974366624139651</v>
      </c>
    </row>
    <row r="19" spans="2:15" x14ac:dyDescent="0.25">
      <c r="B19" s="393">
        <f t="shared" si="0"/>
        <v>1957</v>
      </c>
      <c r="C19" s="394">
        <f>Stored_C!E23</f>
        <v>0</v>
      </c>
      <c r="D19" s="395">
        <f>Stored_C!F23+Stored_C!L23</f>
        <v>89.467199999999991</v>
      </c>
      <c r="E19" s="396">
        <f>Stored_C!G23+Stored_C!M23</f>
        <v>33.088499999999996</v>
      </c>
      <c r="F19" s="397">
        <f>F18+HWP!C19</f>
        <v>0</v>
      </c>
      <c r="G19" s="395">
        <f>G18+HWP!D19</f>
        <v>715.73759999999993</v>
      </c>
      <c r="H19" s="396">
        <f>H18+HWP!E19</f>
        <v>264.70800000000003</v>
      </c>
      <c r="I19" s="379"/>
      <c r="J19" s="398">
        <f>Garden!J26</f>
        <v>0</v>
      </c>
      <c r="K19" s="399">
        <f>Paper!J26</f>
        <v>22.500911225644387</v>
      </c>
      <c r="L19" s="400">
        <f>Wood!J26</f>
        <v>4.5961543299580088</v>
      </c>
      <c r="M19" s="401">
        <f>J19*(1-Recovery_OX!E19)*(1-Recovery_OX!F19)</f>
        <v>0</v>
      </c>
      <c r="N19" s="399">
        <f>K19*(1-Recovery_OX!E19)*(1-Recovery_OX!F19)</f>
        <v>20.250820103079949</v>
      </c>
      <c r="O19" s="400">
        <f>L19*(1-Recovery_OX!E19)*(1-Recovery_OX!F19)</f>
        <v>4.1365388969622083</v>
      </c>
    </row>
    <row r="20" spans="2:15" x14ac:dyDescent="0.25">
      <c r="B20" s="393">
        <f t="shared" si="0"/>
        <v>1958</v>
      </c>
      <c r="C20" s="394">
        <f>Stored_C!E24</f>
        <v>0</v>
      </c>
      <c r="D20" s="395">
        <f>Stored_C!F24+Stored_C!L24</f>
        <v>89.467199999999991</v>
      </c>
      <c r="E20" s="396">
        <f>Stored_C!G24+Stored_C!M24</f>
        <v>33.088499999999996</v>
      </c>
      <c r="F20" s="397">
        <f>F19+HWP!C20</f>
        <v>0</v>
      </c>
      <c r="G20" s="395">
        <f>G19+HWP!D20</f>
        <v>805.20479999999998</v>
      </c>
      <c r="H20" s="396">
        <f>H19+HWP!E20</f>
        <v>297.79650000000004</v>
      </c>
      <c r="I20" s="379"/>
      <c r="J20" s="398">
        <f>Garden!J27</f>
        <v>0</v>
      </c>
      <c r="K20" s="399">
        <f>Paper!J27</f>
        <v>25.011347187641199</v>
      </c>
      <c r="L20" s="400">
        <f>Wood!J27</f>
        <v>5.1774536140061906</v>
      </c>
      <c r="M20" s="401">
        <f>J20*(1-Recovery_OX!E20)*(1-Recovery_OX!F20)</f>
        <v>0</v>
      </c>
      <c r="N20" s="399">
        <f>K20*(1-Recovery_OX!E20)*(1-Recovery_OX!F20)</f>
        <v>22.510212468877079</v>
      </c>
      <c r="O20" s="400">
        <f>L20*(1-Recovery_OX!E20)*(1-Recovery_OX!F20)</f>
        <v>4.6597082526055713</v>
      </c>
    </row>
    <row r="21" spans="2:15" x14ac:dyDescent="0.25">
      <c r="B21" s="393">
        <f t="shared" si="0"/>
        <v>1959</v>
      </c>
      <c r="C21" s="394">
        <f>Stored_C!E25</f>
        <v>0</v>
      </c>
      <c r="D21" s="395">
        <f>Stored_C!F25+Stored_C!L25</f>
        <v>89.467199999999991</v>
      </c>
      <c r="E21" s="396">
        <f>Stored_C!G25+Stored_C!M25</f>
        <v>33.088499999999996</v>
      </c>
      <c r="F21" s="397">
        <f>F20+HWP!C21</f>
        <v>0</v>
      </c>
      <c r="G21" s="395">
        <f>G20+HWP!D21</f>
        <v>894.67200000000003</v>
      </c>
      <c r="H21" s="396">
        <f>H20+HWP!E21</f>
        <v>330.88500000000005</v>
      </c>
      <c r="I21" s="379"/>
      <c r="J21" s="398">
        <f>Garden!J28</f>
        <v>0</v>
      </c>
      <c r="K21" s="399">
        <f>Paper!J28</f>
        <v>27.375586740484245</v>
      </c>
      <c r="L21" s="400">
        <f>Wood!J28</f>
        <v>5.7415729078656934</v>
      </c>
      <c r="M21" s="401">
        <f>J21*(1-Recovery_OX!E21)*(1-Recovery_OX!F21)</f>
        <v>0</v>
      </c>
      <c r="N21" s="399">
        <f>K21*(1-Recovery_OX!E21)*(1-Recovery_OX!F21)</f>
        <v>24.638028066435822</v>
      </c>
      <c r="O21" s="400">
        <f>L21*(1-Recovery_OX!E21)*(1-Recovery_OX!F21)</f>
        <v>5.1674156170791239</v>
      </c>
    </row>
    <row r="22" spans="2:15" x14ac:dyDescent="0.25">
      <c r="B22" s="393">
        <f t="shared" si="0"/>
        <v>1960</v>
      </c>
      <c r="C22" s="394">
        <f>Stored_C!E26</f>
        <v>0</v>
      </c>
      <c r="D22" s="395">
        <f>Stored_C!F26+Stored_C!L26</f>
        <v>89.467199999999991</v>
      </c>
      <c r="E22" s="396">
        <f>Stored_C!G26+Stored_C!M26</f>
        <v>33.088499999999996</v>
      </c>
      <c r="F22" s="397">
        <f>F21+HWP!C22</f>
        <v>0</v>
      </c>
      <c r="G22" s="395">
        <f>G21+HWP!D22</f>
        <v>984.13920000000007</v>
      </c>
      <c r="H22" s="396">
        <f>H21+HWP!E22</f>
        <v>363.97350000000006</v>
      </c>
      <c r="I22" s="379"/>
      <c r="J22" s="398">
        <f>Garden!J29</f>
        <v>0</v>
      </c>
      <c r="K22" s="399">
        <f>Paper!J29</f>
        <v>29.602143700248909</v>
      </c>
      <c r="L22" s="400">
        <f>Wood!J29</f>
        <v>6.2890199569801872</v>
      </c>
      <c r="M22" s="401">
        <f>J22*(1-Recovery_OX!E22)*(1-Recovery_OX!F22)</f>
        <v>0</v>
      </c>
      <c r="N22" s="399">
        <f>K22*(1-Recovery_OX!E22)*(1-Recovery_OX!F22)</f>
        <v>26.64192933022402</v>
      </c>
      <c r="O22" s="400">
        <f>L22*(1-Recovery_OX!E22)*(1-Recovery_OX!F22)</f>
        <v>5.660117961282169</v>
      </c>
    </row>
    <row r="23" spans="2:15" x14ac:dyDescent="0.25">
      <c r="B23" s="393">
        <f t="shared" si="0"/>
        <v>1961</v>
      </c>
      <c r="C23" s="394">
        <f>Stored_C!E27</f>
        <v>0</v>
      </c>
      <c r="D23" s="395">
        <f>Stored_C!F27+Stored_C!L27</f>
        <v>89.467199999999991</v>
      </c>
      <c r="E23" s="396">
        <f>Stored_C!G27+Stored_C!M27</f>
        <v>33.088499999999996</v>
      </c>
      <c r="F23" s="397">
        <f>F22+HWP!C23</f>
        <v>0</v>
      </c>
      <c r="G23" s="395">
        <f>G22+HWP!D23</f>
        <v>1073.6064000000001</v>
      </c>
      <c r="H23" s="396">
        <f>H22+HWP!E23</f>
        <v>397.06200000000007</v>
      </c>
      <c r="I23" s="379"/>
      <c r="J23" s="398">
        <f>Garden!J30</f>
        <v>0</v>
      </c>
      <c r="K23" s="399">
        <f>Paper!J30</f>
        <v>31.699036076960446</v>
      </c>
      <c r="L23" s="400">
        <f>Wood!J30</f>
        <v>6.8202875006476589</v>
      </c>
      <c r="M23" s="401">
        <f>J23*(1-Recovery_OX!E23)*(1-Recovery_OX!F23)</f>
        <v>0</v>
      </c>
      <c r="N23" s="399">
        <f>K23*(1-Recovery_OX!E23)*(1-Recovery_OX!F23)</f>
        <v>28.529132469264404</v>
      </c>
      <c r="O23" s="400">
        <f>L23*(1-Recovery_OX!E23)*(1-Recovery_OX!F23)</f>
        <v>6.1382587505828932</v>
      </c>
    </row>
    <row r="24" spans="2:15" x14ac:dyDescent="0.25">
      <c r="B24" s="393">
        <f t="shared" si="0"/>
        <v>1962</v>
      </c>
      <c r="C24" s="394">
        <f>Stored_C!E28</f>
        <v>0</v>
      </c>
      <c r="D24" s="395">
        <f>Stored_C!F28+Stored_C!L28</f>
        <v>89.467199999999991</v>
      </c>
      <c r="E24" s="396">
        <f>Stored_C!G28+Stored_C!M28</f>
        <v>33.088499999999996</v>
      </c>
      <c r="F24" s="397">
        <f>F23+HWP!C24</f>
        <v>0</v>
      </c>
      <c r="G24" s="395">
        <f>G23+HWP!D24</f>
        <v>1163.0736000000002</v>
      </c>
      <c r="H24" s="396">
        <f>H23+HWP!E24</f>
        <v>430.15050000000008</v>
      </c>
      <c r="I24" s="379"/>
      <c r="J24" s="398">
        <f>Garden!J31</f>
        <v>0</v>
      </c>
      <c r="K24" s="399">
        <f>Paper!J31</f>
        <v>33.673814948090552</v>
      </c>
      <c r="L24" s="400">
        <f>Wood!J31</f>
        <v>7.3358537155190415</v>
      </c>
      <c r="M24" s="401">
        <f>J24*(1-Recovery_OX!E24)*(1-Recovery_OX!F24)</f>
        <v>0</v>
      </c>
      <c r="N24" s="399">
        <f>K24*(1-Recovery_OX!E24)*(1-Recovery_OX!F24)</f>
        <v>30.306433453281496</v>
      </c>
      <c r="O24" s="400">
        <f>L24*(1-Recovery_OX!E24)*(1-Recovery_OX!F24)</f>
        <v>6.6022683439671379</v>
      </c>
    </row>
    <row r="25" spans="2:15" x14ac:dyDescent="0.25">
      <c r="B25" s="393">
        <f t="shared" si="0"/>
        <v>1963</v>
      </c>
      <c r="C25" s="394">
        <f>Stored_C!E29</f>
        <v>0</v>
      </c>
      <c r="D25" s="395">
        <f>Stored_C!F29+Stored_C!L29</f>
        <v>89.467199999999991</v>
      </c>
      <c r="E25" s="396">
        <f>Stored_C!G29+Stored_C!M29</f>
        <v>33.088499999999996</v>
      </c>
      <c r="F25" s="397">
        <f>F24+HWP!C25</f>
        <v>0</v>
      </c>
      <c r="G25" s="395">
        <f>G24+HWP!D25</f>
        <v>1252.5408000000002</v>
      </c>
      <c r="H25" s="396">
        <f>H24+HWP!E25</f>
        <v>463.23900000000009</v>
      </c>
      <c r="I25" s="379"/>
      <c r="J25" s="398">
        <f>Garden!J32</f>
        <v>0</v>
      </c>
      <c r="K25" s="399">
        <f>Paper!J32</f>
        <v>35.533591650592427</v>
      </c>
      <c r="L25" s="400">
        <f>Wood!J32</f>
        <v>7.8361826459894885</v>
      </c>
      <c r="M25" s="401">
        <f>J25*(1-Recovery_OX!E25)*(1-Recovery_OX!F25)</f>
        <v>0</v>
      </c>
      <c r="N25" s="399">
        <f>K25*(1-Recovery_OX!E25)*(1-Recovery_OX!F25)</f>
        <v>31.980232485533186</v>
      </c>
      <c r="O25" s="400">
        <f>L25*(1-Recovery_OX!E25)*(1-Recovery_OX!F25)</f>
        <v>7.0525643813905399</v>
      </c>
    </row>
    <row r="26" spans="2:15" x14ac:dyDescent="0.25">
      <c r="B26" s="393">
        <f t="shared" si="0"/>
        <v>1964</v>
      </c>
      <c r="C26" s="394">
        <f>Stored_C!E30</f>
        <v>0</v>
      </c>
      <c r="D26" s="395">
        <f>Stored_C!F30+Stored_C!L30</f>
        <v>89.467199999999991</v>
      </c>
      <c r="E26" s="396">
        <f>Stored_C!G30+Stored_C!M30</f>
        <v>33.088499999999996</v>
      </c>
      <c r="F26" s="397">
        <f>F25+HWP!C26</f>
        <v>0</v>
      </c>
      <c r="G26" s="395">
        <f>G25+HWP!D26</f>
        <v>1342.0080000000003</v>
      </c>
      <c r="H26" s="396">
        <f>H25+HWP!E26</f>
        <v>496.3275000000001</v>
      </c>
      <c r="I26" s="379"/>
      <c r="J26" s="398">
        <f>Garden!J33</f>
        <v>0</v>
      </c>
      <c r="K26" s="399">
        <f>Paper!J33</f>
        <v>37.285063389394949</v>
      </c>
      <c r="L26" s="400">
        <f>Wood!J33</f>
        <v>8.3217246218696346</v>
      </c>
      <c r="M26" s="401">
        <f>J26*(1-Recovery_OX!E26)*(1-Recovery_OX!F26)</f>
        <v>0</v>
      </c>
      <c r="N26" s="399">
        <f>K26*(1-Recovery_OX!E26)*(1-Recovery_OX!F26)</f>
        <v>33.556557050455453</v>
      </c>
      <c r="O26" s="400">
        <f>L26*(1-Recovery_OX!E26)*(1-Recovery_OX!F26)</f>
        <v>7.4895521596826713</v>
      </c>
    </row>
    <row r="27" spans="2:15" x14ac:dyDescent="0.25">
      <c r="B27" s="393">
        <f t="shared" si="0"/>
        <v>1965</v>
      </c>
      <c r="C27" s="394">
        <f>Stored_C!E31</f>
        <v>0</v>
      </c>
      <c r="D27" s="395">
        <f>Stored_C!F31+Stored_C!L31</f>
        <v>89.467199999999991</v>
      </c>
      <c r="E27" s="396">
        <f>Stored_C!G31+Stored_C!M31</f>
        <v>33.088499999999996</v>
      </c>
      <c r="F27" s="397">
        <f>F26+HWP!C27</f>
        <v>0</v>
      </c>
      <c r="G27" s="395">
        <f>G26+HWP!D27</f>
        <v>1431.4752000000003</v>
      </c>
      <c r="H27" s="396">
        <f>H26+HWP!E27</f>
        <v>529.41600000000005</v>
      </c>
      <c r="I27" s="379"/>
      <c r="J27" s="398">
        <f>Garden!J34</f>
        <v>0</v>
      </c>
      <c r="K27" s="399">
        <f>Paper!J34</f>
        <v>38.934537354574303</v>
      </c>
      <c r="L27" s="400">
        <f>Wood!J34</f>
        <v>8.7929166637128375</v>
      </c>
      <c r="M27" s="401">
        <f>J27*(1-Recovery_OX!E27)*(1-Recovery_OX!F27)</f>
        <v>0</v>
      </c>
      <c r="N27" s="399">
        <f>K27*(1-Recovery_OX!E27)*(1-Recovery_OX!F27)</f>
        <v>35.041083619116876</v>
      </c>
      <c r="O27" s="400">
        <f>L27*(1-Recovery_OX!E27)*(1-Recovery_OX!F27)</f>
        <v>7.9136249973415538</v>
      </c>
    </row>
    <row r="28" spans="2:15" x14ac:dyDescent="0.25">
      <c r="B28" s="393">
        <f t="shared" si="0"/>
        <v>1966</v>
      </c>
      <c r="C28" s="394">
        <f>Stored_C!E32</f>
        <v>0</v>
      </c>
      <c r="D28" s="395">
        <f>Stored_C!F32+Stored_C!L32</f>
        <v>89.467199999999991</v>
      </c>
      <c r="E28" s="396">
        <f>Stored_C!G32+Stored_C!M32</f>
        <v>33.088499999999996</v>
      </c>
      <c r="F28" s="397">
        <f>F27+HWP!C28</f>
        <v>0</v>
      </c>
      <c r="G28" s="395">
        <f>G27+HWP!D28</f>
        <v>1520.9424000000004</v>
      </c>
      <c r="H28" s="396">
        <f>H27+HWP!E28</f>
        <v>562.50450000000001</v>
      </c>
      <c r="I28" s="379"/>
      <c r="J28" s="398">
        <f>Garden!J35</f>
        <v>0</v>
      </c>
      <c r="K28" s="399">
        <f>Paper!J35</f>
        <v>40.487953434050802</v>
      </c>
      <c r="L28" s="400">
        <f>Wood!J35</f>
        <v>9.2501828761631781</v>
      </c>
      <c r="M28" s="401">
        <f>J28*(1-Recovery_OX!E28)*(1-Recovery_OX!F28)</f>
        <v>0</v>
      </c>
      <c r="N28" s="399">
        <f>K28*(1-Recovery_OX!E28)*(1-Recovery_OX!F28)</f>
        <v>36.439158090645719</v>
      </c>
      <c r="O28" s="400">
        <f>L28*(1-Recovery_OX!E28)*(1-Recovery_OX!F28)</f>
        <v>8.3251645885468601</v>
      </c>
    </row>
    <row r="29" spans="2:15" x14ac:dyDescent="0.25">
      <c r="B29" s="393">
        <f t="shared" si="0"/>
        <v>1967</v>
      </c>
      <c r="C29" s="394">
        <f>Stored_C!E33</f>
        <v>0</v>
      </c>
      <c r="D29" s="395">
        <f>Stored_C!F33+Stored_C!L33</f>
        <v>89.467199999999991</v>
      </c>
      <c r="E29" s="396">
        <f>Stored_C!G33+Stored_C!M33</f>
        <v>33.088499999999996</v>
      </c>
      <c r="F29" s="397">
        <f>F28+HWP!C29</f>
        <v>0</v>
      </c>
      <c r="G29" s="395">
        <f>G28+HWP!D29</f>
        <v>1610.4096000000004</v>
      </c>
      <c r="H29" s="396">
        <f>H28+HWP!E29</f>
        <v>595.59299999999996</v>
      </c>
      <c r="I29" s="379"/>
      <c r="J29" s="398">
        <f>Garden!J36</f>
        <v>0</v>
      </c>
      <c r="K29" s="399">
        <f>Paper!J36</f>
        <v>41.95090560360125</v>
      </c>
      <c r="L29" s="400">
        <f>Wood!J36</f>
        <v>9.6939348296782537</v>
      </c>
      <c r="M29" s="401">
        <f>J29*(1-Recovery_OX!E29)*(1-Recovery_OX!F29)</f>
        <v>0</v>
      </c>
      <c r="N29" s="399">
        <f>K29*(1-Recovery_OX!E29)*(1-Recovery_OX!F29)</f>
        <v>37.755815043241128</v>
      </c>
      <c r="O29" s="400">
        <f>L29*(1-Recovery_OX!E29)*(1-Recovery_OX!F29)</f>
        <v>8.7245413467104278</v>
      </c>
    </row>
    <row r="30" spans="2:15" x14ac:dyDescent="0.25">
      <c r="B30" s="393">
        <f t="shared" si="0"/>
        <v>1968</v>
      </c>
      <c r="C30" s="394">
        <f>Stored_C!E34</f>
        <v>0</v>
      </c>
      <c r="D30" s="395">
        <f>Stored_C!F34+Stored_C!L34</f>
        <v>89.467199999999991</v>
      </c>
      <c r="E30" s="396">
        <f>Stored_C!G34+Stored_C!M34</f>
        <v>33.088499999999996</v>
      </c>
      <c r="F30" s="397">
        <f>F29+HWP!C30</f>
        <v>0</v>
      </c>
      <c r="G30" s="395">
        <f>G29+HWP!D30</f>
        <v>1699.8768000000005</v>
      </c>
      <c r="H30" s="396">
        <f>H29+HWP!E30</f>
        <v>628.68149999999991</v>
      </c>
      <c r="I30" s="379"/>
      <c r="J30" s="398">
        <f>Garden!J37</f>
        <v>0</v>
      </c>
      <c r="K30" s="399">
        <f>Paper!J37</f>
        <v>43.328662071213998</v>
      </c>
      <c r="L30" s="400">
        <f>Wood!J37</f>
        <v>10.124571930970383</v>
      </c>
      <c r="M30" s="401">
        <f>J30*(1-Recovery_OX!E30)*(1-Recovery_OX!F30)</f>
        <v>0</v>
      </c>
      <c r="N30" s="399">
        <f>K30*(1-Recovery_OX!E30)*(1-Recovery_OX!F30)</f>
        <v>38.995795864092599</v>
      </c>
      <c r="O30" s="400">
        <f>L30*(1-Recovery_OX!E30)*(1-Recovery_OX!F30)</f>
        <v>9.1121147378733447</v>
      </c>
    </row>
    <row r="31" spans="2:15" x14ac:dyDescent="0.25">
      <c r="B31" s="393">
        <f t="shared" si="0"/>
        <v>1969</v>
      </c>
      <c r="C31" s="394">
        <f>Stored_C!E35</f>
        <v>0</v>
      </c>
      <c r="D31" s="395">
        <f>Stored_C!F35+Stored_C!L35</f>
        <v>89.467199999999991</v>
      </c>
      <c r="E31" s="396">
        <f>Stored_C!G35+Stored_C!M35</f>
        <v>33.088499999999996</v>
      </c>
      <c r="F31" s="397">
        <f>F30+HWP!C31</f>
        <v>0</v>
      </c>
      <c r="G31" s="395">
        <f>G30+HWP!D31</f>
        <v>1789.3440000000005</v>
      </c>
      <c r="H31" s="396">
        <f>H30+HWP!E31</f>
        <v>661.76999999999987</v>
      </c>
      <c r="I31" s="379"/>
      <c r="J31" s="398">
        <f>Garden!J38</f>
        <v>0</v>
      </c>
      <c r="K31" s="399">
        <f>Paper!J38</f>
        <v>44.626184248328002</v>
      </c>
      <c r="L31" s="400">
        <f>Wood!J38</f>
        <v>10.54248178249961</v>
      </c>
      <c r="M31" s="401">
        <f>J31*(1-Recovery_OX!E31)*(1-Recovery_OX!F31)</f>
        <v>0</v>
      </c>
      <c r="N31" s="399">
        <f>K31*(1-Recovery_OX!E31)*(1-Recovery_OX!F31)</f>
        <v>40.163565823495205</v>
      </c>
      <c r="O31" s="400">
        <f>L31*(1-Recovery_OX!E31)*(1-Recovery_OX!F31)</f>
        <v>9.4882336042496505</v>
      </c>
    </row>
    <row r="32" spans="2:15" x14ac:dyDescent="0.25">
      <c r="B32" s="393">
        <f t="shared" si="0"/>
        <v>1970</v>
      </c>
      <c r="C32" s="394">
        <f>Stored_C!E36</f>
        <v>0</v>
      </c>
      <c r="D32" s="395">
        <f>Stored_C!F36+Stored_C!L36</f>
        <v>119.28960000000001</v>
      </c>
      <c r="E32" s="396">
        <f>Stored_C!G36+Stored_C!M36</f>
        <v>44.118000000000002</v>
      </c>
      <c r="F32" s="397">
        <f>F31+HWP!C32</f>
        <v>0</v>
      </c>
      <c r="G32" s="395">
        <f>G31+HWP!D32</f>
        <v>1908.6336000000006</v>
      </c>
      <c r="H32" s="396">
        <f>H31+HWP!E32</f>
        <v>705.88799999999992</v>
      </c>
      <c r="I32" s="379"/>
      <c r="J32" s="398">
        <f>Garden!J39</f>
        <v>0</v>
      </c>
      <c r="K32" s="399">
        <f>Paper!J39</f>
        <v>45.84814461627299</v>
      </c>
      <c r="L32" s="400">
        <f>Wood!J39</f>
        <v>10.948040531342066</v>
      </c>
      <c r="M32" s="401">
        <f>J32*(1-Recovery_OX!E32)*(1-Recovery_OX!F32)</f>
        <v>0</v>
      </c>
      <c r="N32" s="399">
        <f>K32*(1-Recovery_OX!E32)*(1-Recovery_OX!F32)</f>
        <v>41.263330154645693</v>
      </c>
      <c r="O32" s="400">
        <f>L32*(1-Recovery_OX!E32)*(1-Recovery_OX!F32)</f>
        <v>9.8532364782078599</v>
      </c>
    </row>
    <row r="33" spans="2:15" x14ac:dyDescent="0.25">
      <c r="B33" s="393">
        <f t="shared" si="0"/>
        <v>1971</v>
      </c>
      <c r="C33" s="394">
        <f>Stored_C!E37</f>
        <v>0</v>
      </c>
      <c r="D33" s="395">
        <f>Stored_C!F37+Stored_C!L37</f>
        <v>119.28960000000001</v>
      </c>
      <c r="E33" s="396">
        <f>Stored_C!G37+Stored_C!M37</f>
        <v>44.118000000000002</v>
      </c>
      <c r="F33" s="397">
        <f>F32+HWP!C33</f>
        <v>0</v>
      </c>
      <c r="G33" s="395">
        <f>G32+HWP!D33</f>
        <v>2027.9232000000006</v>
      </c>
      <c r="H33" s="396">
        <f>H32+HWP!E33</f>
        <v>750.00599999999997</v>
      </c>
      <c r="I33" s="379"/>
      <c r="J33" s="398">
        <f>Garden!J40</f>
        <v>0</v>
      </c>
      <c r="K33" s="399">
        <f>Paper!J40</f>
        <v>48.272539226249684</v>
      </c>
      <c r="L33" s="400">
        <f>Wood!J40</f>
        <v>11.58065859874735</v>
      </c>
      <c r="M33" s="401">
        <f>J33*(1-Recovery_OX!E33)*(1-Recovery_OX!F33)</f>
        <v>0</v>
      </c>
      <c r="N33" s="399">
        <f>K33*(1-Recovery_OX!E33)*(1-Recovery_OX!F33)</f>
        <v>43.445285303624715</v>
      </c>
      <c r="O33" s="400">
        <f>L33*(1-Recovery_OX!E33)*(1-Recovery_OX!F33)</f>
        <v>10.422592738872615</v>
      </c>
    </row>
    <row r="34" spans="2:15" x14ac:dyDescent="0.25">
      <c r="B34" s="393">
        <f t="shared" si="0"/>
        <v>1972</v>
      </c>
      <c r="C34" s="394">
        <f>Stored_C!E38</f>
        <v>0</v>
      </c>
      <c r="D34" s="395">
        <f>Stored_C!F38+Stored_C!L38</f>
        <v>119.28960000000001</v>
      </c>
      <c r="E34" s="396">
        <f>Stored_C!G38+Stored_C!M38</f>
        <v>44.118000000000002</v>
      </c>
      <c r="F34" s="397">
        <f>F33+HWP!C34</f>
        <v>0</v>
      </c>
      <c r="G34" s="395">
        <f>G33+HWP!D34</f>
        <v>2147.2128000000007</v>
      </c>
      <c r="H34" s="396">
        <f>H33+HWP!E34</f>
        <v>794.12400000000002</v>
      </c>
      <c r="I34" s="379"/>
      <c r="J34" s="398">
        <f>Garden!J41</f>
        <v>0</v>
      </c>
      <c r="K34" s="399">
        <f>Paper!J41</f>
        <v>50.55574808533855</v>
      </c>
      <c r="L34" s="400">
        <f>Wood!J41</f>
        <v>12.194579976702897</v>
      </c>
      <c r="M34" s="401">
        <f>J34*(1-Recovery_OX!E34)*(1-Recovery_OX!F34)</f>
        <v>0</v>
      </c>
      <c r="N34" s="399">
        <f>K34*(1-Recovery_OX!E34)*(1-Recovery_OX!F34)</f>
        <v>45.500173276804695</v>
      </c>
      <c r="O34" s="400">
        <f>L34*(1-Recovery_OX!E34)*(1-Recovery_OX!F34)</f>
        <v>10.975121979032608</v>
      </c>
    </row>
    <row r="35" spans="2:15" x14ac:dyDescent="0.25">
      <c r="B35" s="393">
        <f t="shared" si="0"/>
        <v>1973</v>
      </c>
      <c r="C35" s="394">
        <f>Stored_C!E39</f>
        <v>0</v>
      </c>
      <c r="D35" s="395">
        <f>Stored_C!F39+Stored_C!L39</f>
        <v>119.28960000000001</v>
      </c>
      <c r="E35" s="396">
        <f>Stored_C!G39+Stored_C!M39</f>
        <v>44.118000000000002</v>
      </c>
      <c r="F35" s="397">
        <f>F34+HWP!C35</f>
        <v>0</v>
      </c>
      <c r="G35" s="395">
        <f>G34+HWP!D35</f>
        <v>2266.5024000000008</v>
      </c>
      <c r="H35" s="396">
        <f>H34+HWP!E35</f>
        <v>838.24200000000008</v>
      </c>
      <c r="I35" s="379"/>
      <c r="J35" s="398">
        <f>Garden!J42</f>
        <v>0</v>
      </c>
      <c r="K35" s="399">
        <f>Paper!J42</f>
        <v>52.705993211593807</v>
      </c>
      <c r="L35" s="400">
        <f>Wood!J42</f>
        <v>12.790357235889804</v>
      </c>
      <c r="M35" s="401">
        <f>J35*(1-Recovery_OX!E35)*(1-Recovery_OX!F35)</f>
        <v>0</v>
      </c>
      <c r="N35" s="399">
        <f>K35*(1-Recovery_OX!E35)*(1-Recovery_OX!F35)</f>
        <v>47.435393890434426</v>
      </c>
      <c r="O35" s="400">
        <f>L35*(1-Recovery_OX!E35)*(1-Recovery_OX!F35)</f>
        <v>11.511321512300825</v>
      </c>
    </row>
    <row r="36" spans="2:15" x14ac:dyDescent="0.25">
      <c r="B36" s="393">
        <f t="shared" si="0"/>
        <v>1974</v>
      </c>
      <c r="C36" s="394">
        <f>Stored_C!E40</f>
        <v>0</v>
      </c>
      <c r="D36" s="395">
        <f>Stored_C!F40+Stored_C!L40</f>
        <v>119.28960000000001</v>
      </c>
      <c r="E36" s="396">
        <f>Stored_C!G40+Stored_C!M40</f>
        <v>44.118000000000002</v>
      </c>
      <c r="F36" s="397">
        <f>F35+HWP!C36</f>
        <v>0</v>
      </c>
      <c r="G36" s="395">
        <f>G35+HWP!D36</f>
        <v>2385.7920000000008</v>
      </c>
      <c r="H36" s="396">
        <f>H35+HWP!E36</f>
        <v>882.36000000000013</v>
      </c>
      <c r="I36" s="379"/>
      <c r="J36" s="398">
        <f>Garden!J43</f>
        <v>0</v>
      </c>
      <c r="K36" s="399">
        <f>Paper!J43</f>
        <v>54.731017810013384</v>
      </c>
      <c r="L36" s="400">
        <f>Wood!J43</f>
        <v>13.36852661605751</v>
      </c>
      <c r="M36" s="401">
        <f>J36*(1-Recovery_OX!E36)*(1-Recovery_OX!F36)</f>
        <v>0</v>
      </c>
      <c r="N36" s="399">
        <f>K36*(1-Recovery_OX!E36)*(1-Recovery_OX!F36)</f>
        <v>49.257916029012044</v>
      </c>
      <c r="O36" s="400">
        <f>L36*(1-Recovery_OX!E36)*(1-Recovery_OX!F36)</f>
        <v>12.03167395445176</v>
      </c>
    </row>
    <row r="37" spans="2:15" x14ac:dyDescent="0.25">
      <c r="B37" s="393">
        <f t="shared" si="0"/>
        <v>1975</v>
      </c>
      <c r="C37" s="394">
        <f>Stored_C!E41</f>
        <v>0</v>
      </c>
      <c r="D37" s="395">
        <f>Stored_C!F41+Stored_C!L41</f>
        <v>119.28960000000001</v>
      </c>
      <c r="E37" s="396">
        <f>Stored_C!G41+Stored_C!M41</f>
        <v>44.118000000000002</v>
      </c>
      <c r="F37" s="397">
        <f>F36+HWP!C37</f>
        <v>0</v>
      </c>
      <c r="G37" s="395">
        <f>G36+HWP!D37</f>
        <v>2505.0816000000009</v>
      </c>
      <c r="H37" s="396">
        <f>H36+HWP!E37</f>
        <v>926.47800000000018</v>
      </c>
      <c r="I37" s="379"/>
      <c r="J37" s="398">
        <f>Garden!J44</f>
        <v>0</v>
      </c>
      <c r="K37" s="399">
        <f>Paper!J44</f>
        <v>56.638114156440622</v>
      </c>
      <c r="L37" s="400">
        <f>Wood!J44</f>
        <v>13.92960850867577</v>
      </c>
      <c r="M37" s="401">
        <f>J37*(1-Recovery_OX!E37)*(1-Recovery_OX!F37)</f>
        <v>0</v>
      </c>
      <c r="N37" s="399">
        <f>K37*(1-Recovery_OX!E37)*(1-Recovery_OX!F37)</f>
        <v>50.97430274079656</v>
      </c>
      <c r="O37" s="400">
        <f>L37*(1-Recovery_OX!E37)*(1-Recovery_OX!F37)</f>
        <v>12.536647657808194</v>
      </c>
    </row>
    <row r="38" spans="2:15" x14ac:dyDescent="0.25">
      <c r="B38" s="393">
        <f t="shared" si="0"/>
        <v>1976</v>
      </c>
      <c r="C38" s="394">
        <f>Stored_C!E42</f>
        <v>0</v>
      </c>
      <c r="D38" s="395">
        <f>Stored_C!F42+Stored_C!L42</f>
        <v>119.28960000000001</v>
      </c>
      <c r="E38" s="396">
        <f>Stored_C!G42+Stored_C!M42</f>
        <v>44.118000000000002</v>
      </c>
      <c r="F38" s="397">
        <f>F37+HWP!C38</f>
        <v>0</v>
      </c>
      <c r="G38" s="395">
        <f>G37+HWP!D38</f>
        <v>2624.371200000001</v>
      </c>
      <c r="H38" s="396">
        <f>H37+HWP!E38</f>
        <v>970.59600000000023</v>
      </c>
      <c r="I38" s="379"/>
      <c r="J38" s="398">
        <f>Garden!J45</f>
        <v>0</v>
      </c>
      <c r="K38" s="399">
        <f>Paper!J45</f>
        <v>58.434149857633912</v>
      </c>
      <c r="L38" s="400">
        <f>Wood!J45</f>
        <v>14.474107925322103</v>
      </c>
      <c r="M38" s="401">
        <f>J38*(1-Recovery_OX!E38)*(1-Recovery_OX!F38)</f>
        <v>0</v>
      </c>
      <c r="N38" s="399">
        <f>K38*(1-Recovery_OX!E38)*(1-Recovery_OX!F38)</f>
        <v>52.590734871870524</v>
      </c>
      <c r="O38" s="400">
        <f>L38*(1-Recovery_OX!E38)*(1-Recovery_OX!F38)</f>
        <v>13.026697132789893</v>
      </c>
    </row>
    <row r="39" spans="2:15" x14ac:dyDescent="0.25">
      <c r="B39" s="393">
        <f t="shared" si="0"/>
        <v>1977</v>
      </c>
      <c r="C39" s="394">
        <f>Stored_C!E43</f>
        <v>0</v>
      </c>
      <c r="D39" s="395">
        <f>Stored_C!F43+Stored_C!L43</f>
        <v>119.28960000000001</v>
      </c>
      <c r="E39" s="396">
        <f>Stored_C!G43+Stored_C!M43</f>
        <v>44.118000000000002</v>
      </c>
      <c r="F39" s="397">
        <f>F38+HWP!C39</f>
        <v>0</v>
      </c>
      <c r="G39" s="395">
        <f>G38+HWP!D39</f>
        <v>2743.660800000001</v>
      </c>
      <c r="H39" s="396">
        <f>H38+HWP!E39</f>
        <v>1014.7140000000003</v>
      </c>
      <c r="I39" s="379"/>
      <c r="J39" s="398">
        <f>Garden!J46</f>
        <v>0</v>
      </c>
      <c r="K39" s="399">
        <f>Paper!J46</f>
        <v>60.125592582068862</v>
      </c>
      <c r="L39" s="400">
        <f>Wood!J46</f>
        <v>15.002514952226303</v>
      </c>
      <c r="M39" s="401">
        <f>J39*(1-Recovery_OX!E39)*(1-Recovery_OX!F39)</f>
        <v>0</v>
      </c>
      <c r="N39" s="399">
        <f>K39*(1-Recovery_OX!E39)*(1-Recovery_OX!F39)</f>
        <v>54.113033323861977</v>
      </c>
      <c r="O39" s="400">
        <f>L39*(1-Recovery_OX!E39)*(1-Recovery_OX!F39)</f>
        <v>13.502263457003673</v>
      </c>
    </row>
    <row r="40" spans="2:15" x14ac:dyDescent="0.25">
      <c r="B40" s="393">
        <f t="shared" si="0"/>
        <v>1978</v>
      </c>
      <c r="C40" s="394">
        <f>Stored_C!E44</f>
        <v>0</v>
      </c>
      <c r="D40" s="395">
        <f>Stored_C!F44+Stored_C!L44</f>
        <v>119.28960000000001</v>
      </c>
      <c r="E40" s="396">
        <f>Stored_C!G44+Stored_C!M44</f>
        <v>44.118000000000002</v>
      </c>
      <c r="F40" s="397">
        <f>F39+HWP!C40</f>
        <v>0</v>
      </c>
      <c r="G40" s="395">
        <f>G39+HWP!D40</f>
        <v>2862.9504000000011</v>
      </c>
      <c r="H40" s="396">
        <f>H39+HWP!E40</f>
        <v>1058.8320000000003</v>
      </c>
      <c r="I40" s="379"/>
      <c r="J40" s="398">
        <f>Garden!J47</f>
        <v>0</v>
      </c>
      <c r="K40" s="399">
        <f>Paper!J47</f>
        <v>61.718533350530805</v>
      </c>
      <c r="L40" s="400">
        <f>Wood!J47</f>
        <v>15.515305191381135</v>
      </c>
      <c r="M40" s="401">
        <f>J40*(1-Recovery_OX!E40)*(1-Recovery_OX!F40)</f>
        <v>0</v>
      </c>
      <c r="N40" s="399">
        <f>K40*(1-Recovery_OX!E40)*(1-Recovery_OX!F40)</f>
        <v>55.546680015477726</v>
      </c>
      <c r="O40" s="400">
        <f>L40*(1-Recovery_OX!E40)*(1-Recovery_OX!F40)</f>
        <v>13.963774672243021</v>
      </c>
    </row>
    <row r="41" spans="2:15" x14ac:dyDescent="0.25">
      <c r="B41" s="393">
        <f t="shared" si="0"/>
        <v>1979</v>
      </c>
      <c r="C41" s="394">
        <f>Stored_C!E45</f>
        <v>0</v>
      </c>
      <c r="D41" s="395">
        <f>Stored_C!F45+Stored_C!L45</f>
        <v>119.28960000000001</v>
      </c>
      <c r="E41" s="396">
        <f>Stored_C!G45+Stored_C!M45</f>
        <v>44.118000000000002</v>
      </c>
      <c r="F41" s="397">
        <f>F40+HWP!C41</f>
        <v>0</v>
      </c>
      <c r="G41" s="395">
        <f>G40+HWP!D41</f>
        <v>2982.2400000000011</v>
      </c>
      <c r="H41" s="396">
        <f>H40+HWP!E41</f>
        <v>1102.9500000000003</v>
      </c>
      <c r="I41" s="379"/>
      <c r="J41" s="398">
        <f>Garden!J48</f>
        <v>0</v>
      </c>
      <c r="K41" s="399">
        <f>Paper!J48</f>
        <v>63.218708470368718</v>
      </c>
      <c r="L41" s="400">
        <f>Wood!J48</f>
        <v>16.012940188616209</v>
      </c>
      <c r="M41" s="401">
        <f>J41*(1-Recovery_OX!E41)*(1-Recovery_OX!F41)</f>
        <v>0</v>
      </c>
      <c r="N41" s="399">
        <f>K41*(1-Recovery_OX!E41)*(1-Recovery_OX!F41)</f>
        <v>56.896837623331848</v>
      </c>
      <c r="O41" s="400">
        <f>L41*(1-Recovery_OX!E41)*(1-Recovery_OX!F41)</f>
        <v>14.411646169754588</v>
      </c>
    </row>
    <row r="42" spans="2:15" x14ac:dyDescent="0.25">
      <c r="B42" s="393">
        <f t="shared" si="0"/>
        <v>1980</v>
      </c>
      <c r="C42" s="394">
        <f>Stored_C!E46</f>
        <v>0</v>
      </c>
      <c r="D42" s="395">
        <f>Stored_C!F46+Stored_C!L46</f>
        <v>134.20079999999999</v>
      </c>
      <c r="E42" s="396">
        <f>Stored_C!G46+Stored_C!M46</f>
        <v>49.632750000000001</v>
      </c>
      <c r="F42" s="397">
        <f>F41+HWP!C42</f>
        <v>0</v>
      </c>
      <c r="G42" s="395">
        <f>G41+HWP!D42</f>
        <v>3116.4408000000012</v>
      </c>
      <c r="H42" s="396">
        <f>H41+HWP!E42</f>
        <v>1152.5827500000003</v>
      </c>
      <c r="I42" s="379"/>
      <c r="J42" s="398">
        <f>Garden!J49</f>
        <v>0</v>
      </c>
      <c r="K42" s="399">
        <f>Paper!J49</f>
        <v>64.631520192397559</v>
      </c>
      <c r="L42" s="400">
        <f>Wood!J49</f>
        <v>16.495867849020414</v>
      </c>
      <c r="M42" s="401">
        <f>J42*(1-Recovery_OX!E42)*(1-Recovery_OX!F42)</f>
        <v>0</v>
      </c>
      <c r="N42" s="399">
        <f>K42*(1-Recovery_OX!E42)*(1-Recovery_OX!F42)</f>
        <v>58.168368173157802</v>
      </c>
      <c r="O42" s="400">
        <f>L42*(1-Recovery_OX!E42)*(1-Recovery_OX!F42)</f>
        <v>14.846281064118372</v>
      </c>
    </row>
    <row r="43" spans="2:15" x14ac:dyDescent="0.25">
      <c r="B43" s="393">
        <f t="shared" si="0"/>
        <v>1981</v>
      </c>
      <c r="C43" s="394">
        <f>Stored_C!E47</f>
        <v>0</v>
      </c>
      <c r="D43" s="395">
        <f>Stored_C!F47+Stored_C!L47</f>
        <v>134.20079999999999</v>
      </c>
      <c r="E43" s="396">
        <f>Stored_C!G47+Stored_C!M47</f>
        <v>49.632750000000001</v>
      </c>
      <c r="F43" s="397">
        <f>F42+HWP!C43</f>
        <v>0</v>
      </c>
      <c r="G43" s="395">
        <f>G42+HWP!D43</f>
        <v>3250.6416000000013</v>
      </c>
      <c r="H43" s="396">
        <f>H42+HWP!E43</f>
        <v>1202.2155000000002</v>
      </c>
      <c r="I43" s="379"/>
      <c r="J43" s="398">
        <f>Garden!J50</f>
        <v>0</v>
      </c>
      <c r="K43" s="399">
        <f>Paper!J50</f>
        <v>66.598854001836671</v>
      </c>
      <c r="L43" s="400">
        <f>Wood!J50</f>
        <v>17.084045535586505</v>
      </c>
      <c r="M43" s="401">
        <f>J43*(1-Recovery_OX!E43)*(1-Recovery_OX!F43)</f>
        <v>0</v>
      </c>
      <c r="N43" s="399">
        <f>K43*(1-Recovery_OX!E43)*(1-Recovery_OX!F43)</f>
        <v>59.938968601653002</v>
      </c>
      <c r="O43" s="400">
        <f>L43*(1-Recovery_OX!E43)*(1-Recovery_OX!F43)</f>
        <v>15.375640982027855</v>
      </c>
    </row>
    <row r="44" spans="2:15" x14ac:dyDescent="0.25">
      <c r="B44" s="393">
        <f t="shared" si="0"/>
        <v>1982</v>
      </c>
      <c r="C44" s="394">
        <f>Stored_C!E48</f>
        <v>0</v>
      </c>
      <c r="D44" s="395">
        <f>Stored_C!F48+Stored_C!L48</f>
        <v>134.20079999999999</v>
      </c>
      <c r="E44" s="396">
        <f>Stored_C!G48+Stored_C!M48</f>
        <v>49.632750000000001</v>
      </c>
      <c r="F44" s="397">
        <f>F43+HWP!C44</f>
        <v>0</v>
      </c>
      <c r="G44" s="395">
        <f>G43+HWP!D44</f>
        <v>3384.8424000000014</v>
      </c>
      <c r="H44" s="396">
        <f>H43+HWP!E44</f>
        <v>1251.8482500000002</v>
      </c>
      <c r="I44" s="379"/>
      <c r="J44" s="398">
        <f>Garden!J51</f>
        <v>0</v>
      </c>
      <c r="K44" s="399">
        <f>Paper!J51</f>
        <v>68.451619209287628</v>
      </c>
      <c r="L44" s="400">
        <f>Wood!J51</f>
        <v>17.65483994444746</v>
      </c>
      <c r="M44" s="401">
        <f>J44*(1-Recovery_OX!E44)*(1-Recovery_OX!F44)</f>
        <v>0</v>
      </c>
      <c r="N44" s="399">
        <f>K44*(1-Recovery_OX!E44)*(1-Recovery_OX!F44)</f>
        <v>61.606457288358868</v>
      </c>
      <c r="O44" s="400">
        <f>L44*(1-Recovery_OX!E44)*(1-Recovery_OX!F44)</f>
        <v>15.889355950002715</v>
      </c>
    </row>
    <row r="45" spans="2:15" x14ac:dyDescent="0.25">
      <c r="B45" s="393">
        <f t="shared" si="0"/>
        <v>1983</v>
      </c>
      <c r="C45" s="394">
        <f>Stored_C!E49</f>
        <v>0</v>
      </c>
      <c r="D45" s="395">
        <f>Stored_C!F49+Stored_C!L49</f>
        <v>134.20079999999999</v>
      </c>
      <c r="E45" s="396">
        <f>Stored_C!G49+Stored_C!M49</f>
        <v>49.632750000000001</v>
      </c>
      <c r="F45" s="397">
        <f>F44+HWP!C45</f>
        <v>0</v>
      </c>
      <c r="G45" s="395">
        <f>G44+HWP!D45</f>
        <v>3519.0432000000014</v>
      </c>
      <c r="H45" s="396">
        <f>H44+HWP!E45</f>
        <v>1301.4810000000002</v>
      </c>
      <c r="I45" s="379"/>
      <c r="J45" s="398">
        <f>Garden!J52</f>
        <v>0</v>
      </c>
      <c r="K45" s="399">
        <f>Paper!J52</f>
        <v>70.196487770723792</v>
      </c>
      <c r="L45" s="400">
        <f>Wood!J52</f>
        <v>18.208764829101035</v>
      </c>
      <c r="M45" s="401">
        <f>J45*(1-Recovery_OX!E45)*(1-Recovery_OX!F45)</f>
        <v>0</v>
      </c>
      <c r="N45" s="399">
        <f>K45*(1-Recovery_OX!E45)*(1-Recovery_OX!F45)</f>
        <v>63.176838993651415</v>
      </c>
      <c r="O45" s="400">
        <f>L45*(1-Recovery_OX!E45)*(1-Recovery_OX!F45)</f>
        <v>16.387888346190934</v>
      </c>
    </row>
    <row r="46" spans="2:15" x14ac:dyDescent="0.25">
      <c r="B46" s="393">
        <f t="shared" si="0"/>
        <v>1984</v>
      </c>
      <c r="C46" s="394">
        <f>Stored_C!E50</f>
        <v>0</v>
      </c>
      <c r="D46" s="395">
        <f>Stored_C!F50+Stored_C!L50</f>
        <v>134.20079999999999</v>
      </c>
      <c r="E46" s="396">
        <f>Stored_C!G50+Stored_C!M50</f>
        <v>49.632750000000001</v>
      </c>
      <c r="F46" s="397">
        <f>F45+HWP!C46</f>
        <v>0</v>
      </c>
      <c r="G46" s="395">
        <f>G45+HWP!D46</f>
        <v>3653.2440000000015</v>
      </c>
      <c r="H46" s="396">
        <f>H45+HWP!E46</f>
        <v>1351.1137500000002</v>
      </c>
      <c r="I46" s="379"/>
      <c r="J46" s="398">
        <f>Garden!J53</f>
        <v>0</v>
      </c>
      <c r="K46" s="399">
        <f>Paper!J53</f>
        <v>71.83974309765054</v>
      </c>
      <c r="L46" s="400">
        <f>Wood!J53</f>
        <v>18.746318759334471</v>
      </c>
      <c r="M46" s="401">
        <f>J46*(1-Recovery_OX!E46)*(1-Recovery_OX!F46)</f>
        <v>0</v>
      </c>
      <c r="N46" s="399">
        <f>K46*(1-Recovery_OX!E46)*(1-Recovery_OX!F46)</f>
        <v>64.655768787885492</v>
      </c>
      <c r="O46" s="400">
        <f>L46*(1-Recovery_OX!E46)*(1-Recovery_OX!F46)</f>
        <v>16.871686883401026</v>
      </c>
    </row>
    <row r="47" spans="2:15" x14ac:dyDescent="0.25">
      <c r="B47" s="393">
        <f t="shared" si="0"/>
        <v>1985</v>
      </c>
      <c r="C47" s="394">
        <f>Stored_C!E51</f>
        <v>0</v>
      </c>
      <c r="D47" s="395">
        <f>Stored_C!F51+Stored_C!L51</f>
        <v>134.20079999999999</v>
      </c>
      <c r="E47" s="396">
        <f>Stored_C!G51+Stored_C!M51</f>
        <v>49.632750000000001</v>
      </c>
      <c r="F47" s="397">
        <f>F46+HWP!C47</f>
        <v>0</v>
      </c>
      <c r="G47" s="395">
        <f>G46+HWP!D47</f>
        <v>3787.4448000000016</v>
      </c>
      <c r="H47" s="396">
        <f>H46+HWP!E47</f>
        <v>1400.7465000000002</v>
      </c>
      <c r="I47" s="379"/>
      <c r="J47" s="398">
        <f>Garden!J54</f>
        <v>0</v>
      </c>
      <c r="K47" s="399">
        <f>Paper!J54</f>
        <v>73.387302684173562</v>
      </c>
      <c r="L47" s="400">
        <f>Wood!J54</f>
        <v>19.267985569970953</v>
      </c>
      <c r="M47" s="401">
        <f>J47*(1-Recovery_OX!E47)*(1-Recovery_OX!F47)</f>
        <v>0</v>
      </c>
      <c r="N47" s="399">
        <f>K47*(1-Recovery_OX!E47)*(1-Recovery_OX!F47)</f>
        <v>66.048572415756212</v>
      </c>
      <c r="O47" s="400">
        <f>L47*(1-Recovery_OX!E47)*(1-Recovery_OX!F47)</f>
        <v>17.341187012973858</v>
      </c>
    </row>
    <row r="48" spans="2:15" x14ac:dyDescent="0.25">
      <c r="B48" s="393">
        <f t="shared" si="0"/>
        <v>1986</v>
      </c>
      <c r="C48" s="394">
        <f>Stored_C!E52</f>
        <v>0</v>
      </c>
      <c r="D48" s="395">
        <f>Stored_C!F52+Stored_C!L52</f>
        <v>134.20079999999999</v>
      </c>
      <c r="E48" s="396">
        <f>Stored_C!G52+Stored_C!M52</f>
        <v>49.632750000000001</v>
      </c>
      <c r="F48" s="397">
        <f>F47+HWP!C48</f>
        <v>0</v>
      </c>
      <c r="G48" s="395">
        <f>G47+HWP!D48</f>
        <v>3921.6456000000017</v>
      </c>
      <c r="H48" s="396">
        <f>H47+HWP!E48</f>
        <v>1450.3792500000002</v>
      </c>
      <c r="I48" s="379"/>
      <c r="J48" s="398">
        <f>Garden!J55</f>
        <v>0</v>
      </c>
      <c r="K48" s="399">
        <f>Paper!J55</f>
        <v>74.844739416369237</v>
      </c>
      <c r="L48" s="400">
        <f>Wood!J55</f>
        <v>19.774234796353625</v>
      </c>
      <c r="M48" s="401">
        <f>J48*(1-Recovery_OX!E48)*(1-Recovery_OX!F48)</f>
        <v>0</v>
      </c>
      <c r="N48" s="399">
        <f>K48*(1-Recovery_OX!E48)*(1-Recovery_OX!F48)</f>
        <v>67.360265474732316</v>
      </c>
      <c r="O48" s="400">
        <f>L48*(1-Recovery_OX!E48)*(1-Recovery_OX!F48)</f>
        <v>17.796811316718262</v>
      </c>
    </row>
    <row r="49" spans="2:15" x14ac:dyDescent="0.25">
      <c r="B49" s="393">
        <f t="shared" si="0"/>
        <v>1987</v>
      </c>
      <c r="C49" s="394">
        <f>Stored_C!E53</f>
        <v>0</v>
      </c>
      <c r="D49" s="395">
        <f>Stored_C!F53+Stored_C!L53</f>
        <v>134.20079999999999</v>
      </c>
      <c r="E49" s="396">
        <f>Stored_C!G53+Stored_C!M53</f>
        <v>49.632750000000001</v>
      </c>
      <c r="F49" s="397">
        <f>F48+HWP!C49</f>
        <v>0</v>
      </c>
      <c r="G49" s="395">
        <f>G48+HWP!D49</f>
        <v>4055.8464000000017</v>
      </c>
      <c r="H49" s="396">
        <f>H48+HWP!E49</f>
        <v>1500.0120000000002</v>
      </c>
      <c r="I49" s="379"/>
      <c r="J49" s="398">
        <f>Garden!J56</f>
        <v>0</v>
      </c>
      <c r="K49" s="399">
        <f>Paper!J56</f>
        <v>76.217301640694046</v>
      </c>
      <c r="L49" s="400">
        <f>Wood!J56</f>
        <v>20.265522096959078</v>
      </c>
      <c r="M49" s="401">
        <f>J49*(1-Recovery_OX!E49)*(1-Recovery_OX!F49)</f>
        <v>0</v>
      </c>
      <c r="N49" s="399">
        <f>K49*(1-Recovery_OX!E49)*(1-Recovery_OX!F49)</f>
        <v>68.595571476624642</v>
      </c>
      <c r="O49" s="400">
        <f>L49*(1-Recovery_OX!E49)*(1-Recovery_OX!F49)</f>
        <v>18.23896988726317</v>
      </c>
    </row>
    <row r="50" spans="2:15" x14ac:dyDescent="0.25">
      <c r="B50" s="393">
        <f t="shared" si="0"/>
        <v>1988</v>
      </c>
      <c r="C50" s="394">
        <f>Stored_C!E54</f>
        <v>0</v>
      </c>
      <c r="D50" s="395">
        <f>Stored_C!F54+Stored_C!L54</f>
        <v>134.20079999999999</v>
      </c>
      <c r="E50" s="396">
        <f>Stored_C!G54+Stored_C!M54</f>
        <v>49.632750000000001</v>
      </c>
      <c r="F50" s="397">
        <f>F49+HWP!C50</f>
        <v>0</v>
      </c>
      <c r="G50" s="395">
        <f>G49+HWP!D50</f>
        <v>4190.0472000000018</v>
      </c>
      <c r="H50" s="396">
        <f>H49+HWP!E50</f>
        <v>1549.6447500000002</v>
      </c>
      <c r="I50" s="379"/>
      <c r="J50" s="398">
        <f>Garden!J57</f>
        <v>0</v>
      </c>
      <c r="K50" s="399">
        <f>Paper!J57</f>
        <v>77.50993206370066</v>
      </c>
      <c r="L50" s="400">
        <f>Wood!J57</f>
        <v>20.74228966352074</v>
      </c>
      <c r="M50" s="401">
        <f>J50*(1-Recovery_OX!E50)*(1-Recovery_OX!F50)</f>
        <v>0</v>
      </c>
      <c r="N50" s="399">
        <f>K50*(1-Recovery_OX!E50)*(1-Recovery_OX!F50)</f>
        <v>69.758938857330591</v>
      </c>
      <c r="O50" s="400">
        <f>L50*(1-Recovery_OX!E50)*(1-Recovery_OX!F50)</f>
        <v>18.668060697168666</v>
      </c>
    </row>
    <row r="51" spans="2:15" x14ac:dyDescent="0.25">
      <c r="B51" s="393">
        <f t="shared" si="0"/>
        <v>1989</v>
      </c>
      <c r="C51" s="394">
        <f>Stored_C!E55</f>
        <v>0</v>
      </c>
      <c r="D51" s="395">
        <f>Stored_C!F55+Stored_C!L55</f>
        <v>134.20079999999999</v>
      </c>
      <c r="E51" s="396">
        <f>Stored_C!G55+Stored_C!M55</f>
        <v>49.632750000000001</v>
      </c>
      <c r="F51" s="397">
        <f>F50+HWP!C51</f>
        <v>0</v>
      </c>
      <c r="G51" s="395">
        <f>G50+HWP!D51</f>
        <v>4324.2480000000014</v>
      </c>
      <c r="H51" s="396">
        <f>H50+HWP!E51</f>
        <v>1599.2775000000001</v>
      </c>
      <c r="I51" s="379"/>
      <c r="J51" s="398">
        <f>Garden!J58</f>
        <v>0</v>
      </c>
      <c r="K51" s="399">
        <f>Paper!J58</f>
        <v>78.727285551120289</v>
      </c>
      <c r="L51" s="400">
        <f>Wood!J58</f>
        <v>21.204966619031296</v>
      </c>
      <c r="M51" s="401">
        <f>J51*(1-Recovery_OX!E51)*(1-Recovery_OX!F51)</f>
        <v>0</v>
      </c>
      <c r="N51" s="399">
        <f>K51*(1-Recovery_OX!E51)*(1-Recovery_OX!F51)</f>
        <v>70.854556996008256</v>
      </c>
      <c r="O51" s="400">
        <f>L51*(1-Recovery_OX!E51)*(1-Recovery_OX!F51)</f>
        <v>19.084469957128167</v>
      </c>
    </row>
    <row r="52" spans="2:15" x14ac:dyDescent="0.25">
      <c r="B52" s="393">
        <f t="shared" si="0"/>
        <v>1990</v>
      </c>
      <c r="C52" s="394">
        <f>Stored_C!E56</f>
        <v>0</v>
      </c>
      <c r="D52" s="395">
        <f>Stored_C!F56+Stored_C!L56</f>
        <v>149.11199999999999</v>
      </c>
      <c r="E52" s="396">
        <f>Stored_C!G56+Stored_C!M56</f>
        <v>55.147500000000001</v>
      </c>
      <c r="F52" s="397">
        <f>F51+HWP!C52</f>
        <v>0</v>
      </c>
      <c r="G52" s="395">
        <f>G51+HWP!D52</f>
        <v>4473.3600000000015</v>
      </c>
      <c r="H52" s="396">
        <f>H51+HWP!E52</f>
        <v>1654.4250000000002</v>
      </c>
      <c r="I52" s="379"/>
      <c r="J52" s="398">
        <f>Garden!J59</f>
        <v>0</v>
      </c>
      <c r="K52" s="399">
        <f>Paper!J59</f>
        <v>79.873745890407207</v>
      </c>
      <c r="L52" s="400">
        <f>Wood!J59</f>
        <v>21.653969403982334</v>
      </c>
      <c r="M52" s="401">
        <f>J52*(1-Recovery_OX!E52)*(1-Recovery_OX!F52)</f>
        <v>0</v>
      </c>
      <c r="N52" s="399">
        <f>K52*(1-Recovery_OX!E52)*(1-Recovery_OX!F52)</f>
        <v>70.41862468204161</v>
      </c>
      <c r="O52" s="400">
        <f>L52*(1-Recovery_OX!E52)*(1-Recovery_OX!F52)</f>
        <v>19.090662737010522</v>
      </c>
    </row>
    <row r="53" spans="2:15" x14ac:dyDescent="0.25">
      <c r="B53" s="393">
        <f t="shared" si="0"/>
        <v>1991</v>
      </c>
      <c r="C53" s="394">
        <f>Stored_C!E57</f>
        <v>0</v>
      </c>
      <c r="D53" s="395">
        <f>Stored_C!F57+Stored_C!L57</f>
        <v>93.038040000000009</v>
      </c>
      <c r="E53" s="396">
        <f>Stored_C!G57+Stored_C!M57</f>
        <v>34.4091375</v>
      </c>
      <c r="F53" s="397">
        <f>F52+HWP!C53</f>
        <v>0</v>
      </c>
      <c r="G53" s="395">
        <f>G52+HWP!D53</f>
        <v>4566.3980400000019</v>
      </c>
      <c r="H53" s="396">
        <f>H52+HWP!E53</f>
        <v>1688.8341375000002</v>
      </c>
      <c r="I53" s="379"/>
      <c r="J53" s="398">
        <f>Garden!J60</f>
        <v>0</v>
      </c>
      <c r="K53" s="399">
        <f>Paper!J60</f>
        <v>81.590239414108851</v>
      </c>
      <c r="L53" s="400">
        <f>Wood!J60</f>
        <v>22.209224846688716</v>
      </c>
      <c r="M53" s="401">
        <f>J53*(1-Recovery_OX!E53)*(1-Recovery_OX!F53)</f>
        <v>0</v>
      </c>
      <c r="N53" s="399">
        <f>K53*(1-Recovery_OX!E53)*(1-Recovery_OX!F53)</f>
        <v>71.965048298338232</v>
      </c>
      <c r="O53" s="400">
        <f>L53*(1-Recovery_OX!E53)*(1-Recovery_OX!F53)</f>
        <v>19.589205157844233</v>
      </c>
    </row>
    <row r="54" spans="2:15" x14ac:dyDescent="0.25">
      <c r="B54" s="393">
        <f t="shared" si="0"/>
        <v>1992</v>
      </c>
      <c r="C54" s="394">
        <f>Stored_C!E58</f>
        <v>0</v>
      </c>
      <c r="D54" s="395">
        <f>Stored_C!F58+Stored_C!L58</f>
        <v>93.705120000000022</v>
      </c>
      <c r="E54" s="396">
        <f>Stored_C!G58+Stored_C!M58</f>
        <v>34.655850000000008</v>
      </c>
      <c r="F54" s="397">
        <f>F53+HWP!C54</f>
        <v>0</v>
      </c>
      <c r="G54" s="395">
        <f>G53+HWP!D54</f>
        <v>4660.1031600000015</v>
      </c>
      <c r="H54" s="396">
        <f>H53+HWP!E54</f>
        <v>1723.4899875000003</v>
      </c>
      <c r="I54" s="379"/>
      <c r="J54" s="398">
        <f>Garden!J61</f>
        <v>0</v>
      </c>
      <c r="K54" s="399">
        <f>Paper!J61</f>
        <v>80.812077112980788</v>
      </c>
      <c r="L54" s="400">
        <f>Wood!J61</f>
        <v>22.298601769280531</v>
      </c>
      <c r="M54" s="401">
        <f>J54*(1-Recovery_OX!E54)*(1-Recovery_OX!F54)</f>
        <v>0</v>
      </c>
      <c r="N54" s="399">
        <f>K54*(1-Recovery_OX!E54)*(1-Recovery_OX!F54)</f>
        <v>71.158096078225995</v>
      </c>
      <c r="O54" s="400">
        <f>L54*(1-Recovery_OX!E54)*(1-Recovery_OX!F54)</f>
        <v>19.634763809996034</v>
      </c>
    </row>
    <row r="55" spans="2:15" x14ac:dyDescent="0.25">
      <c r="B55" s="393">
        <f t="shared" si="0"/>
        <v>1993</v>
      </c>
      <c r="C55" s="394">
        <f>Stored_C!E59</f>
        <v>0</v>
      </c>
      <c r="D55" s="395">
        <f>Stored_C!F59+Stored_C!L59</f>
        <v>97.472160000000002</v>
      </c>
      <c r="E55" s="396">
        <f>Stored_C!G59+Stored_C!M59</f>
        <v>36.049049999999994</v>
      </c>
      <c r="F55" s="397">
        <f>F54+HWP!C55</f>
        <v>0</v>
      </c>
      <c r="G55" s="395">
        <f>G54+HWP!D55</f>
        <v>4757.5753200000017</v>
      </c>
      <c r="H55" s="396">
        <f>H54+HWP!E55</f>
        <v>1759.5390375000004</v>
      </c>
      <c r="I55" s="379"/>
      <c r="J55" s="398">
        <f>Garden!J62</f>
        <v>0</v>
      </c>
      <c r="K55" s="399">
        <f>Paper!J62</f>
        <v>80.107719780692918</v>
      </c>
      <c r="L55" s="400">
        <f>Wood!J62</f>
        <v>22.390684272568635</v>
      </c>
      <c r="M55" s="401">
        <f>J55*(1-Recovery_OX!E55)*(1-Recovery_OX!F55)</f>
        <v>0</v>
      </c>
      <c r="N55" s="399">
        <f>K55*(1-Recovery_OX!E55)*(1-Recovery_OX!F55)</f>
        <v>70.509939569286814</v>
      </c>
      <c r="O55" s="400">
        <f>L55*(1-Recovery_OX!E55)*(1-Recovery_OX!F55)</f>
        <v>19.708035621234846</v>
      </c>
    </row>
    <row r="56" spans="2:15" x14ac:dyDescent="0.25">
      <c r="B56" s="393">
        <f t="shared" si="0"/>
        <v>1994</v>
      </c>
      <c r="C56" s="394">
        <f>Stored_C!E60</f>
        <v>0</v>
      </c>
      <c r="D56" s="395">
        <f>Stored_C!F60+Stored_C!L60</f>
        <v>99.787320000000022</v>
      </c>
      <c r="E56" s="396">
        <f>Stored_C!G60+Stored_C!M60</f>
        <v>36.9052875</v>
      </c>
      <c r="F56" s="397">
        <f>F55+HWP!C56</f>
        <v>0</v>
      </c>
      <c r="G56" s="395">
        <f>G55+HWP!D56</f>
        <v>4857.3626400000021</v>
      </c>
      <c r="H56" s="396">
        <f>H55+HWP!E56</f>
        <v>1796.4443250000004</v>
      </c>
      <c r="I56" s="379"/>
      <c r="J56" s="398">
        <f>Garden!J63</f>
        <v>0</v>
      </c>
      <c r="K56" s="399">
        <f>Paper!J63</f>
        <v>79.605256269205839</v>
      </c>
      <c r="L56" s="400">
        <f>Wood!J63</f>
        <v>22.510240533886705</v>
      </c>
      <c r="M56" s="401">
        <f>J56*(1-Recovery_OX!E56)*(1-Recovery_OX!F56)</f>
        <v>0</v>
      </c>
      <c r="N56" s="399">
        <f>K56*(1-Recovery_OX!E56)*(1-Recovery_OX!F56)</f>
        <v>70.047686574895437</v>
      </c>
      <c r="O56" s="400">
        <f>L56*(1-Recovery_OX!E56)*(1-Recovery_OX!F56)</f>
        <v>19.807615068920541</v>
      </c>
    </row>
    <row r="57" spans="2:15" x14ac:dyDescent="0.25">
      <c r="B57" s="393">
        <f t="shared" si="0"/>
        <v>1995</v>
      </c>
      <c r="C57" s="394">
        <f>Stored_C!E61</f>
        <v>0</v>
      </c>
      <c r="D57" s="395">
        <f>Stored_C!F61+Stored_C!L61</f>
        <v>100.49364000000001</v>
      </c>
      <c r="E57" s="396">
        <f>Stored_C!G61+Stored_C!M61</f>
        <v>37.166512500000003</v>
      </c>
      <c r="F57" s="397">
        <f>F56+HWP!C57</f>
        <v>0</v>
      </c>
      <c r="G57" s="395">
        <f>G56+HWP!D57</f>
        <v>4957.8562800000018</v>
      </c>
      <c r="H57" s="396">
        <f>H56+HWP!E57</f>
        <v>1833.6108375000003</v>
      </c>
      <c r="I57" s="379"/>
      <c r="J57" s="398">
        <f>Garden!J64</f>
        <v>0</v>
      </c>
      <c r="K57" s="399">
        <f>Paper!J64</f>
        <v>79.230925197780294</v>
      </c>
      <c r="L57" s="400">
        <f>Wood!J64</f>
        <v>22.644820844833976</v>
      </c>
      <c r="M57" s="401">
        <f>J57*(1-Recovery_OX!E57)*(1-Recovery_OX!F57)</f>
        <v>0</v>
      </c>
      <c r="N57" s="399">
        <f>K57*(1-Recovery_OX!E57)*(1-Recovery_OX!F57)</f>
        <v>69.703775914400978</v>
      </c>
      <c r="O57" s="400">
        <f>L57*(1-Recovery_OX!E57)*(1-Recovery_OX!F57)</f>
        <v>19.921886736143836</v>
      </c>
    </row>
    <row r="58" spans="2:15" x14ac:dyDescent="0.25">
      <c r="B58" s="393">
        <f t="shared" si="0"/>
        <v>1996</v>
      </c>
      <c r="C58" s="394">
        <f>Stored_C!E62</f>
        <v>0</v>
      </c>
      <c r="D58" s="395">
        <f>Stored_C!F62+Stored_C!L62</f>
        <v>102.84804000000003</v>
      </c>
      <c r="E58" s="396">
        <f>Stored_C!G62+Stored_C!M62</f>
        <v>38.037262499999997</v>
      </c>
      <c r="F58" s="397">
        <f>F57+HWP!C58</f>
        <v>0</v>
      </c>
      <c r="G58" s="395">
        <f>G57+HWP!D58</f>
        <v>5060.7043200000016</v>
      </c>
      <c r="H58" s="396">
        <f>H57+HWP!E58</f>
        <v>1871.6481000000003</v>
      </c>
      <c r="I58" s="379"/>
      <c r="J58" s="398">
        <f>Garden!J65</f>
        <v>0</v>
      </c>
      <c r="K58" s="399">
        <f>Paper!J65</f>
        <v>78.908557578961563</v>
      </c>
      <c r="L58" s="400">
        <f>Wood!J65</f>
        <v>22.781085307862099</v>
      </c>
      <c r="M58" s="401">
        <f>J58*(1-Recovery_OX!E58)*(1-Recovery_OX!F58)</f>
        <v>0</v>
      </c>
      <c r="N58" s="399">
        <f>K58*(1-Recovery_OX!E58)*(1-Recovery_OX!F58)</f>
        <v>68.259142436916449</v>
      </c>
      <c r="O58" s="400">
        <f>L58*(1-Recovery_OX!E58)*(1-Recovery_OX!F58)</f>
        <v>19.706574224739079</v>
      </c>
    </row>
    <row r="59" spans="2:15" x14ac:dyDescent="0.25">
      <c r="B59" s="393">
        <f t="shared" si="0"/>
        <v>1997</v>
      </c>
      <c r="C59" s="394">
        <f>Stored_C!E63</f>
        <v>0</v>
      </c>
      <c r="D59" s="395">
        <f>Stored_C!F63+Stored_C!L63</f>
        <v>111.07620000000003</v>
      </c>
      <c r="E59" s="396">
        <f>Stored_C!G63+Stored_C!M63</f>
        <v>38.937037500000002</v>
      </c>
      <c r="F59" s="397">
        <f>F58+HWP!C59</f>
        <v>0</v>
      </c>
      <c r="G59" s="395">
        <f>G58+HWP!D59</f>
        <v>5171.7805200000021</v>
      </c>
      <c r="H59" s="396">
        <f>H58+HWP!E59</f>
        <v>1910.5851375000004</v>
      </c>
      <c r="I59" s="379"/>
      <c r="J59" s="398">
        <f>Garden!J66</f>
        <v>0</v>
      </c>
      <c r="K59" s="399">
        <f>Paper!J66</f>
        <v>78.705510215676867</v>
      </c>
      <c r="L59" s="400">
        <f>Wood!J66</f>
        <v>22.932194551941727</v>
      </c>
      <c r="M59" s="401">
        <f>J59*(1-Recovery_OX!E59)*(1-Recovery_OX!F59)</f>
        <v>0</v>
      </c>
      <c r="N59" s="399">
        <f>K59*(1-Recovery_OX!E59)*(1-Recovery_OX!F59)</f>
        <v>67.790347309696557</v>
      </c>
      <c r="O59" s="400">
        <f>L59*(1-Recovery_OX!E59)*(1-Recovery_OX!F59)</f>
        <v>19.751875427649704</v>
      </c>
    </row>
    <row r="60" spans="2:15" x14ac:dyDescent="0.25">
      <c r="B60" s="393">
        <f t="shared" si="0"/>
        <v>1998</v>
      </c>
      <c r="C60" s="394">
        <f>Stored_C!E64</f>
        <v>0</v>
      </c>
      <c r="D60" s="395">
        <f>Stored_C!F64+Stored_C!L64</f>
        <v>118.32479999999998</v>
      </c>
      <c r="E60" s="396">
        <f>Stored_C!G64+Stored_C!M64</f>
        <v>39.749737499999995</v>
      </c>
      <c r="F60" s="397">
        <f>F59+HWP!C60</f>
        <v>0</v>
      </c>
      <c r="G60" s="395">
        <f>G59+HWP!D60</f>
        <v>5290.1053200000024</v>
      </c>
      <c r="H60" s="396">
        <f>H59+HWP!E60</f>
        <v>1950.3348750000005</v>
      </c>
      <c r="I60" s="379"/>
      <c r="J60" s="398">
        <f>Garden!J67</f>
        <v>0</v>
      </c>
      <c r="K60" s="399">
        <f>Paper!J67</f>
        <v>78.865679282882695</v>
      </c>
      <c r="L60" s="400">
        <f>Wood!J67</f>
        <v>23.098338914307721</v>
      </c>
      <c r="M60" s="401">
        <f>J60*(1-Recovery_OX!E60)*(1-Recovery_OX!F60)</f>
        <v>0</v>
      </c>
      <c r="N60" s="399">
        <f>K60*(1-Recovery_OX!E60)*(1-Recovery_OX!F60)</f>
        <v>67.690922740998062</v>
      </c>
      <c r="O60" s="400">
        <f>L60*(1-Recovery_OX!E60)*(1-Recovery_OX!F60)</f>
        <v>19.825453722214391</v>
      </c>
    </row>
    <row r="61" spans="2:15" x14ac:dyDescent="0.25">
      <c r="B61" s="393">
        <f t="shared" si="0"/>
        <v>1999</v>
      </c>
      <c r="C61" s="394">
        <f>Stored_C!E65</f>
        <v>0</v>
      </c>
      <c r="D61" s="395">
        <f>Stored_C!F65+Stored_C!L65</f>
        <v>126.18</v>
      </c>
      <c r="E61" s="396">
        <f>Stored_C!G65+Stored_C!M65</f>
        <v>40.693049999999992</v>
      </c>
      <c r="F61" s="397">
        <f>F60+HWP!C61</f>
        <v>0</v>
      </c>
      <c r="G61" s="395">
        <f>G60+HWP!D61</f>
        <v>5416.2853200000027</v>
      </c>
      <c r="H61" s="396">
        <f>H60+HWP!E61</f>
        <v>1991.0279250000006</v>
      </c>
      <c r="I61" s="379"/>
      <c r="J61" s="398">
        <f>Garden!J68</f>
        <v>0</v>
      </c>
      <c r="K61" s="399">
        <f>Paper!J68</f>
        <v>79.326079604452659</v>
      </c>
      <c r="L61" s="400">
        <f>Wood!J68</f>
        <v>23.277186839605818</v>
      </c>
      <c r="M61" s="401">
        <f>J61*(1-Recovery_OX!E61)*(1-Recovery_OX!F61)</f>
        <v>0</v>
      </c>
      <c r="N61" s="399">
        <f>K61*(1-Recovery_OX!E61)*(1-Recovery_OX!F61)</f>
        <v>67.807976809651592</v>
      </c>
      <c r="O61" s="400">
        <f>L61*(1-Recovery_OX!E61)*(1-Recovery_OX!F61)</f>
        <v>19.897352211079429</v>
      </c>
    </row>
    <row r="62" spans="2:15" x14ac:dyDescent="0.25">
      <c r="B62" s="393">
        <f t="shared" si="0"/>
        <v>2000</v>
      </c>
      <c r="C62" s="394">
        <f>Stored_C!E66</f>
        <v>0</v>
      </c>
      <c r="D62" s="395">
        <f>Stored_C!F66+Stored_C!L66</f>
        <v>123.17760000000001</v>
      </c>
      <c r="E62" s="396">
        <f>Stored_C!G66+Stored_C!M66</f>
        <v>38.196899999999999</v>
      </c>
      <c r="F62" s="397">
        <f>F61+HWP!C62</f>
        <v>0</v>
      </c>
      <c r="G62" s="395">
        <f>G61+HWP!D62</f>
        <v>5539.4629200000027</v>
      </c>
      <c r="H62" s="396">
        <f>H61+HWP!E62</f>
        <v>2029.2248250000005</v>
      </c>
      <c r="I62" s="379"/>
      <c r="J62" s="398">
        <f>Garden!J69</f>
        <v>0</v>
      </c>
      <c r="K62" s="399">
        <f>Paper!J69</f>
        <v>80.095132538136653</v>
      </c>
      <c r="L62" s="400">
        <f>Wood!J69</f>
        <v>23.47119368149443</v>
      </c>
      <c r="M62" s="401">
        <f>J62*(1-Recovery_OX!E62)*(1-Recovery_OX!F62)</f>
        <v>0</v>
      </c>
      <c r="N62" s="399">
        <f>K62*(1-Recovery_OX!E62)*(1-Recovery_OX!F62)</f>
        <v>68.244261556188007</v>
      </c>
      <c r="O62" s="400">
        <f>L62*(1-Recovery_OX!E62)*(1-Recovery_OX!F62)</f>
        <v>19.9983972793001</v>
      </c>
    </row>
    <row r="63" spans="2:15" x14ac:dyDescent="0.25">
      <c r="B63" s="393">
        <f t="shared" si="0"/>
        <v>2001</v>
      </c>
      <c r="C63" s="394">
        <f>Stored_C!E67</f>
        <v>0</v>
      </c>
      <c r="D63" s="395">
        <f>Stored_C!F67+Stored_C!L67</f>
        <v>136.22580000000002</v>
      </c>
      <c r="E63" s="396">
        <f>Stored_C!G67+Stored_C!M67</f>
        <v>40.678537500000004</v>
      </c>
      <c r="F63" s="397">
        <f>F62+HWP!C63</f>
        <v>0</v>
      </c>
      <c r="G63" s="395">
        <f>G62+HWP!D63</f>
        <v>5675.6887200000028</v>
      </c>
      <c r="H63" s="396">
        <f>H62+HWP!E63</f>
        <v>2069.9033625000006</v>
      </c>
      <c r="I63" s="379"/>
      <c r="J63" s="398">
        <f>Garden!J70</f>
        <v>0</v>
      </c>
      <c r="K63" s="399">
        <f>Paper!J70</f>
        <v>80.69117879499359</v>
      </c>
      <c r="L63" s="400">
        <f>Wood!J70</f>
        <v>23.605367008298959</v>
      </c>
      <c r="M63" s="401">
        <f>J63*(1-Recovery_OX!E63)*(1-Recovery_OX!F63)</f>
        <v>0</v>
      </c>
      <c r="N63" s="399">
        <f>K63*(1-Recovery_OX!E63)*(1-Recovery_OX!F63)</f>
        <v>68.462914350254181</v>
      </c>
      <c r="O63" s="400">
        <f>L63*(1-Recovery_OX!E63)*(1-Recovery_OX!F63)</f>
        <v>20.028115140087113</v>
      </c>
    </row>
    <row r="64" spans="2:15" x14ac:dyDescent="0.25">
      <c r="B64" s="393">
        <f t="shared" si="0"/>
        <v>2002</v>
      </c>
      <c r="C64" s="394">
        <f>Stored_C!E68</f>
        <v>0</v>
      </c>
      <c r="D64" s="395">
        <f>Stored_C!F68+Stored_C!L68</f>
        <v>122.08320000000002</v>
      </c>
      <c r="E64" s="396">
        <f>Stored_C!G68+Stored_C!M68</f>
        <v>49.214790000000001</v>
      </c>
      <c r="F64" s="397">
        <f>F63+HWP!C64</f>
        <v>0</v>
      </c>
      <c r="G64" s="395">
        <f>G63+HWP!D64</f>
        <v>5797.7719200000029</v>
      </c>
      <c r="H64" s="396">
        <f>H63+HWP!E64</f>
        <v>2119.1181525000006</v>
      </c>
      <c r="I64" s="379"/>
      <c r="J64" s="398">
        <f>Garden!J71</f>
        <v>0</v>
      </c>
      <c r="K64" s="399">
        <f>Paper!J71</f>
        <v>81.809750562860188</v>
      </c>
      <c r="L64" s="400">
        <f>Wood!J71</f>
        <v>23.789360126992669</v>
      </c>
      <c r="M64" s="401">
        <f>J64*(1-Recovery_OX!E64)*(1-Recovery_OX!F64)</f>
        <v>0</v>
      </c>
      <c r="N64" s="399">
        <f>K64*(1-Recovery_OX!E64)*(1-Recovery_OX!F64)</f>
        <v>69.189941933316476</v>
      </c>
      <c r="O64" s="400">
        <f>L64*(1-Recovery_OX!E64)*(1-Recovery_OX!F64)</f>
        <v>20.119660975529456</v>
      </c>
    </row>
    <row r="65" spans="2:15" x14ac:dyDescent="0.25">
      <c r="B65" s="393">
        <f t="shared" si="0"/>
        <v>2003</v>
      </c>
      <c r="C65" s="394">
        <f>Stored_C!E69</f>
        <v>0</v>
      </c>
      <c r="D65" s="395">
        <f>Stored_C!F69+Stored_C!L69</f>
        <v>115.63200000000001</v>
      </c>
      <c r="E65" s="396">
        <f>Stored_C!G69+Stored_C!M69</f>
        <v>62.152199999999993</v>
      </c>
      <c r="F65" s="397">
        <f>F64+HWP!C65</f>
        <v>0</v>
      </c>
      <c r="G65" s="395">
        <f>G64+HWP!D65</f>
        <v>5913.4039200000025</v>
      </c>
      <c r="H65" s="396">
        <f>H64+HWP!E65</f>
        <v>2181.2703525000006</v>
      </c>
      <c r="I65" s="379"/>
      <c r="J65" s="398">
        <f>Garden!J72</f>
        <v>0</v>
      </c>
      <c r="K65" s="399">
        <f>Paper!J72</f>
        <v>82.25920778339588</v>
      </c>
      <c r="L65" s="400">
        <f>Wood!J72</f>
        <v>24.152923978529962</v>
      </c>
      <c r="M65" s="401">
        <f>J65*(1-Recovery_OX!E65)*(1-Recovery_OX!F65)</f>
        <v>0</v>
      </c>
      <c r="N65" s="399">
        <f>K65*(1-Recovery_OX!E65)*(1-Recovery_OX!F65)</f>
        <v>69.306763958841287</v>
      </c>
      <c r="O65" s="400">
        <f>L65*(1-Recovery_OX!E65)*(1-Recovery_OX!F65)</f>
        <v>20.349831297958414</v>
      </c>
    </row>
    <row r="66" spans="2:15" x14ac:dyDescent="0.25">
      <c r="B66" s="393">
        <f t="shared" si="0"/>
        <v>2004</v>
      </c>
      <c r="C66" s="394">
        <f>Stored_C!E70</f>
        <v>0</v>
      </c>
      <c r="D66" s="395">
        <f>Stored_C!F70+Stored_C!L70</f>
        <v>100.95840000000001</v>
      </c>
      <c r="E66" s="396">
        <f>Stored_C!G70+Stored_C!M70</f>
        <v>74.257559999999998</v>
      </c>
      <c r="F66" s="397">
        <f>F65+HWP!C66</f>
        <v>0</v>
      </c>
      <c r="G66" s="395">
        <f>G65+HWP!D66</f>
        <v>6014.3623200000029</v>
      </c>
      <c r="H66" s="396">
        <f>H65+HWP!E66</f>
        <v>2255.5279125000006</v>
      </c>
      <c r="I66" s="379"/>
      <c r="J66" s="398">
        <f>Garden!J73</f>
        <v>0</v>
      </c>
      <c r="K66" s="399">
        <f>Paper!J73</f>
        <v>82.406985649702818</v>
      </c>
      <c r="L66" s="400">
        <f>Wood!J73</f>
        <v>24.786138944277766</v>
      </c>
      <c r="M66" s="401">
        <f>J66*(1-Recovery_OX!E66)*(1-Recovery_OX!F66)</f>
        <v>0</v>
      </c>
      <c r="N66" s="399">
        <f>K66*(1-Recovery_OX!E66)*(1-Recovery_OX!F66)</f>
        <v>66.771836185989386</v>
      </c>
      <c r="O66" s="400">
        <f>L66*(1-Recovery_OX!E66)*(1-Recovery_OX!F66)</f>
        <v>20.083443123446603</v>
      </c>
    </row>
    <row r="67" spans="2:15" x14ac:dyDescent="0.25">
      <c r="B67" s="393">
        <f t="shared" si="0"/>
        <v>2005</v>
      </c>
      <c r="C67" s="394">
        <f>Stored_C!E71</f>
        <v>0</v>
      </c>
      <c r="D67" s="395">
        <f>Stored_C!F71+Stored_C!L71</f>
        <v>86.4</v>
      </c>
      <c r="E67" s="396">
        <f>Stored_C!G71+Stored_C!M71</f>
        <v>81.27000000000001</v>
      </c>
      <c r="F67" s="397">
        <f>F66+HWP!C67</f>
        <v>0</v>
      </c>
      <c r="G67" s="395">
        <f>G66+HWP!D67</f>
        <v>6100.7623200000025</v>
      </c>
      <c r="H67" s="396">
        <f>H66+HWP!E67</f>
        <v>2336.7979125000006</v>
      </c>
      <c r="I67" s="379"/>
      <c r="J67" s="398">
        <f>Garden!J74</f>
        <v>0</v>
      </c>
      <c r="K67" s="399">
        <f>Paper!J74</f>
        <v>81.919506713707435</v>
      </c>
      <c r="L67" s="400">
        <f>Wood!J74</f>
        <v>25.663002380632836</v>
      </c>
      <c r="M67" s="401">
        <f>J67*(1-Recovery_OX!E67)*(1-Recovery_OX!F67)</f>
        <v>0</v>
      </c>
      <c r="N67" s="399">
        <f>K67*(1-Recovery_OX!E67)*(1-Recovery_OX!F67)</f>
        <v>65.340080763894278</v>
      </c>
      <c r="O67" s="400">
        <f>L67*(1-Recovery_OX!E67)*(1-Recovery_OX!F67)</f>
        <v>20.469149723456297</v>
      </c>
    </row>
    <row r="68" spans="2:15" x14ac:dyDescent="0.25">
      <c r="B68" s="393">
        <f t="shared" si="0"/>
        <v>2006</v>
      </c>
      <c r="C68" s="394">
        <f>Stored_C!E72</f>
        <v>0</v>
      </c>
      <c r="D68" s="395">
        <f>Stored_C!F72+Stored_C!L72</f>
        <v>88.415999999999997</v>
      </c>
      <c r="E68" s="396">
        <f>Stored_C!G72+Stored_C!M72</f>
        <v>83.166300000000007</v>
      </c>
      <c r="F68" s="397">
        <f>F67+HWP!C68</f>
        <v>0</v>
      </c>
      <c r="G68" s="395">
        <f>G67+HWP!D68</f>
        <v>6189.1783200000027</v>
      </c>
      <c r="H68" s="396">
        <f>H67+HWP!E68</f>
        <v>2419.9642125000005</v>
      </c>
      <c r="I68" s="379"/>
      <c r="J68" s="398">
        <f>Garden!J75</f>
        <v>0</v>
      </c>
      <c r="K68" s="399">
        <f>Paper!J75</f>
        <v>80.838685183788414</v>
      </c>
      <c r="L68" s="400">
        <f>Wood!J75</f>
        <v>26.665933129305873</v>
      </c>
      <c r="M68" s="401">
        <f>J68*(1-Recovery_OX!E68)*(1-Recovery_OX!F68)</f>
        <v>0</v>
      </c>
      <c r="N68" s="399">
        <f>K68*(1-Recovery_OX!E68)*(1-Recovery_OX!F68)</f>
        <v>63.384505996039806</v>
      </c>
      <c r="O68" s="400">
        <f>L68*(1-Recovery_OX!E68)*(1-Recovery_OX!F68)</f>
        <v>20.908392986374832</v>
      </c>
    </row>
    <row r="69" spans="2:15" x14ac:dyDescent="0.25">
      <c r="B69" s="393">
        <f t="shared" si="0"/>
        <v>2007</v>
      </c>
      <c r="C69" s="394">
        <f>Stored_C!E73</f>
        <v>0</v>
      </c>
      <c r="D69" s="395">
        <f>Stored_C!F73+Stored_C!L73</f>
        <v>98.562600000000018</v>
      </c>
      <c r="E69" s="396">
        <f>Stored_C!G73+Stored_C!M73</f>
        <v>81.024255000000011</v>
      </c>
      <c r="F69" s="397">
        <f>F68+HWP!C69</f>
        <v>0</v>
      </c>
      <c r="G69" s="395">
        <f>G68+HWP!D69</f>
        <v>6287.7409200000029</v>
      </c>
      <c r="H69" s="396">
        <f>H68+HWP!E69</f>
        <v>2500.9884675000003</v>
      </c>
      <c r="I69" s="379"/>
      <c r="J69" s="398">
        <f>Garden!J76</f>
        <v>0</v>
      </c>
      <c r="K69" s="399">
        <f>Paper!J76</f>
        <v>79.906901113325461</v>
      </c>
      <c r="L69" s="400">
        <f>Wood!J76</f>
        <v>27.680321826950866</v>
      </c>
      <c r="M69" s="401">
        <f>J69*(1-Recovery_OX!E69)*(1-Recovery_OX!F69)</f>
        <v>0</v>
      </c>
      <c r="N69" s="399">
        <f>K69*(1-Recovery_OX!E69)*(1-Recovery_OX!F69)</f>
        <v>60.401710656886266</v>
      </c>
      <c r="O69" s="400">
        <f>L69*(1-Recovery_OX!E69)*(1-Recovery_OX!F69)</f>
        <v>20.923584403677538</v>
      </c>
    </row>
    <row r="70" spans="2:15" x14ac:dyDescent="0.25">
      <c r="B70" s="393">
        <f t="shared" si="0"/>
        <v>2008</v>
      </c>
      <c r="C70" s="394">
        <f>Stored_C!E74</f>
        <v>0</v>
      </c>
      <c r="D70" s="395">
        <f>Stored_C!F74+Stored_C!L74</f>
        <v>95.443200000000004</v>
      </c>
      <c r="E70" s="396">
        <f>Stored_C!G74+Stored_C!M74</f>
        <v>89.776260000000008</v>
      </c>
      <c r="F70" s="397">
        <f>F69+HWP!C70</f>
        <v>0</v>
      </c>
      <c r="G70" s="395">
        <f>G69+HWP!D70</f>
        <v>6383.1841200000026</v>
      </c>
      <c r="H70" s="396">
        <f>H69+HWP!E70</f>
        <v>2590.7647275000004</v>
      </c>
      <c r="I70" s="379"/>
      <c r="J70" s="398">
        <f>Garden!J77</f>
        <v>0</v>
      </c>
      <c r="K70" s="399">
        <f>Paper!J77</f>
        <v>79.462700710729663</v>
      </c>
      <c r="L70" s="400">
        <f>Wood!J77</f>
        <v>28.618305676663134</v>
      </c>
      <c r="M70" s="401">
        <f>J70*(1-Recovery_OX!E70)*(1-Recovery_OX!F70)</f>
        <v>0</v>
      </c>
      <c r="N70" s="399">
        <f>K70*(1-Recovery_OX!E70)*(1-Recovery_OX!F70)</f>
        <v>60.810474073500671</v>
      </c>
      <c r="O70" s="400">
        <f>L70*(1-Recovery_OX!E70)*(1-Recovery_OX!F70)</f>
        <v>21.900749909237014</v>
      </c>
    </row>
    <row r="71" spans="2:15" x14ac:dyDescent="0.25">
      <c r="B71" s="393">
        <f t="shared" si="0"/>
        <v>2009</v>
      </c>
      <c r="C71" s="394">
        <f>Stored_C!E75</f>
        <v>0</v>
      </c>
      <c r="D71" s="395">
        <f>Stored_C!F75+Stored_C!L75</f>
        <v>98.611199999999997</v>
      </c>
      <c r="E71" s="396">
        <f>Stored_C!G75+Stored_C!M75</f>
        <v>86.130719999999997</v>
      </c>
      <c r="F71" s="397">
        <f>F70+HWP!C71</f>
        <v>0</v>
      </c>
      <c r="G71" s="395">
        <f>G70+HWP!D71</f>
        <v>6481.7953200000029</v>
      </c>
      <c r="H71" s="396">
        <f>H70+HWP!E71</f>
        <v>2676.8954475000005</v>
      </c>
      <c r="I71" s="379"/>
      <c r="J71" s="398">
        <f>Garden!J78</f>
        <v>0</v>
      </c>
      <c r="K71" s="399">
        <f>Paper!J78</f>
        <v>78.911151402207082</v>
      </c>
      <c r="L71" s="400">
        <f>Wood!J78</f>
        <v>29.718252528804626</v>
      </c>
      <c r="M71" s="401">
        <f>J71*(1-Recovery_OX!E71)*(1-Recovery_OX!F71)</f>
        <v>0</v>
      </c>
      <c r="N71" s="399">
        <f>K71*(1-Recovery_OX!E71)*(1-Recovery_OX!F71)</f>
        <v>60.587128333110861</v>
      </c>
      <c r="O71" s="400">
        <f>L71*(1-Recovery_OX!E71)*(1-Recovery_OX!F71)</f>
        <v>22.817352779725407</v>
      </c>
    </row>
    <row r="72" spans="2:15" x14ac:dyDescent="0.25">
      <c r="B72" s="393">
        <f t="shared" si="0"/>
        <v>2010</v>
      </c>
      <c r="C72" s="394">
        <f>Stored_C!E76</f>
        <v>0</v>
      </c>
      <c r="D72" s="395">
        <f>Stored_C!F76+Stored_C!L76</f>
        <v>98.092800000000011</v>
      </c>
      <c r="E72" s="396">
        <f>Stored_C!G76+Stored_C!M76</f>
        <v>85.677930000000003</v>
      </c>
      <c r="F72" s="397">
        <f>F71+HWP!C72</f>
        <v>0</v>
      </c>
      <c r="G72" s="395">
        <f>G71+HWP!D72</f>
        <v>6579.8881200000033</v>
      </c>
      <c r="H72" s="396">
        <f>H71+HWP!E72</f>
        <v>2762.5733775000003</v>
      </c>
      <c r="I72" s="379"/>
      <c r="J72" s="398">
        <f>Garden!J79</f>
        <v>0</v>
      </c>
      <c r="K72" s="399">
        <f>Paper!J79</f>
        <v>78.527014460494684</v>
      </c>
      <c r="L72" s="400">
        <f>Wood!J79</f>
        <v>30.706680246212521</v>
      </c>
      <c r="M72" s="401">
        <f>J72*(1-Recovery_OX!E72)*(1-Recovery_OX!F72)</f>
        <v>0</v>
      </c>
      <c r="N72" s="399">
        <f>K72*(1-Recovery_OX!E72)*(1-Recovery_OX!F72)</f>
        <v>60.42643064826644</v>
      </c>
      <c r="O72" s="400">
        <f>L72*(1-Recovery_OX!E72)*(1-Recovery_OX!F72)</f>
        <v>23.628748617072603</v>
      </c>
    </row>
    <row r="73" spans="2:15" x14ac:dyDescent="0.25">
      <c r="B73" s="393">
        <f t="shared" si="0"/>
        <v>2011</v>
      </c>
      <c r="C73" s="394">
        <f>Stored_C!E77</f>
        <v>0</v>
      </c>
      <c r="D73" s="395">
        <f>Stored_C!F77+Stored_C!L77</f>
        <v>91.728000000000009</v>
      </c>
      <c r="E73" s="396">
        <f>Stored_C!G77+Stored_C!M77</f>
        <v>80.11867500000001</v>
      </c>
      <c r="F73" s="397">
        <f>F72+HWP!C73</f>
        <v>0</v>
      </c>
      <c r="G73" s="395">
        <f>G72+HWP!D73</f>
        <v>6671.6161200000033</v>
      </c>
      <c r="H73" s="396">
        <f>H72+HWP!E73</f>
        <v>2842.6920525000005</v>
      </c>
      <c r="I73" s="379"/>
      <c r="J73" s="398">
        <f>Garden!J80</f>
        <v>0</v>
      </c>
      <c r="K73" s="399">
        <f>Paper!J80</f>
        <v>78.143109117837781</v>
      </c>
      <c r="L73" s="400">
        <f>Wood!J80</f>
        <v>31.656082067439208</v>
      </c>
      <c r="M73" s="401">
        <f>J73*(1-Recovery_OX!E73)*(1-Recovery_OX!F73)</f>
        <v>0</v>
      </c>
      <c r="N73" s="399">
        <f>K73*(1-Recovery_OX!E73)*(1-Recovery_OX!F73)</f>
        <v>59.537790480367477</v>
      </c>
      <c r="O73" s="400">
        <f>L73*(1-Recovery_OX!E73)*(1-Recovery_OX!F73)</f>
        <v>24.118994020552531</v>
      </c>
    </row>
    <row r="74" spans="2:15" x14ac:dyDescent="0.25">
      <c r="B74" s="393">
        <f t="shared" si="0"/>
        <v>2012</v>
      </c>
      <c r="C74" s="394">
        <f>Stored_C!E78</f>
        <v>0</v>
      </c>
      <c r="D74" s="395">
        <f>Stored_C!F78+Stored_C!L78</f>
        <v>85.852800000000002</v>
      </c>
      <c r="E74" s="396">
        <f>Stored_C!G78+Stored_C!M78</f>
        <v>74.987055000000012</v>
      </c>
      <c r="F74" s="397">
        <f>F73+HWP!C74</f>
        <v>0</v>
      </c>
      <c r="G74" s="395">
        <f>G73+HWP!D74</f>
        <v>6757.468920000003</v>
      </c>
      <c r="H74" s="396">
        <f>H73+HWP!E74</f>
        <v>2917.6791075000006</v>
      </c>
      <c r="I74" s="379"/>
      <c r="J74" s="398">
        <f>Garden!J81</f>
        <v>0</v>
      </c>
      <c r="K74" s="399">
        <f>Paper!J81</f>
        <v>77.509745477665192</v>
      </c>
      <c r="L74" s="400">
        <f>Wood!J81</f>
        <v>32.456937559770083</v>
      </c>
      <c r="M74" s="401">
        <f>J74*(1-Recovery_OX!E74)*(1-Recovery_OX!F74)</f>
        <v>0</v>
      </c>
      <c r="N74" s="399">
        <f>K74*(1-Recovery_OX!E74)*(1-Recovery_OX!F74)</f>
        <v>59.188553660989001</v>
      </c>
      <c r="O74" s="400">
        <f>L74*(1-Recovery_OX!E74)*(1-Recovery_OX!F74)</f>
        <v>24.785001919292704</v>
      </c>
    </row>
    <row r="75" spans="2:15" x14ac:dyDescent="0.25">
      <c r="B75" s="393">
        <f t="shared" si="0"/>
        <v>2013</v>
      </c>
      <c r="C75" s="394">
        <f>Stored_C!E79</f>
        <v>0</v>
      </c>
      <c r="D75" s="395">
        <f>Stored_C!F79+Stored_C!L79</f>
        <v>80.236800000000017</v>
      </c>
      <c r="E75" s="396">
        <f>Stored_C!G79+Stored_C!M79</f>
        <v>70.081830000000011</v>
      </c>
      <c r="F75" s="397">
        <f>F74+HWP!C75</f>
        <v>0</v>
      </c>
      <c r="G75" s="395">
        <f>G74+HWP!D75</f>
        <v>6837.7057200000027</v>
      </c>
      <c r="H75" s="396">
        <f>H74+HWP!E75</f>
        <v>2987.7609375000006</v>
      </c>
      <c r="I75" s="379"/>
      <c r="J75" s="398">
        <f>Garden!J82</f>
        <v>0</v>
      </c>
      <c r="K75" s="399">
        <f>Paper!J82</f>
        <v>76.662359722145879</v>
      </c>
      <c r="L75" s="400">
        <f>Wood!J82</f>
        <v>33.122905181823725</v>
      </c>
      <c r="M75" s="401">
        <f>J75*(1-Recovery_OX!E75)*(1-Recovery_OX!F75)</f>
        <v>0</v>
      </c>
      <c r="N75" s="399">
        <f>K75*(1-Recovery_OX!E75)*(1-Recovery_OX!F75)</f>
        <v>59.465905413489899</v>
      </c>
      <c r="O75" s="400">
        <f>L75*(1-Recovery_OX!E75)*(1-Recovery_OX!F75)</f>
        <v>25.692967888038158</v>
      </c>
    </row>
    <row r="76" spans="2:15" x14ac:dyDescent="0.25">
      <c r="B76" s="393">
        <f t="shared" si="0"/>
        <v>2014</v>
      </c>
      <c r="C76" s="394">
        <f>Stored_C!E80</f>
        <v>0</v>
      </c>
      <c r="D76" s="395">
        <f>Stored_C!F80+Stored_C!L80</f>
        <v>77.529600000000016</v>
      </c>
      <c r="E76" s="396">
        <f>Stored_C!G80+Stored_C!M80</f>
        <v>67.71726000000001</v>
      </c>
      <c r="F76" s="397">
        <f>F75+HWP!C76</f>
        <v>0</v>
      </c>
      <c r="G76" s="395">
        <f>G75+HWP!D76</f>
        <v>6915.2353200000025</v>
      </c>
      <c r="H76" s="396">
        <f>H75+HWP!E76</f>
        <v>3055.4781975000005</v>
      </c>
      <c r="I76" s="379"/>
      <c r="J76" s="398">
        <f>Garden!J83</f>
        <v>0</v>
      </c>
      <c r="K76" s="399">
        <f>Paper!J83</f>
        <v>75.624484926446655</v>
      </c>
      <c r="L76" s="400">
        <f>Wood!J83</f>
        <v>33.662878193820617</v>
      </c>
      <c r="M76" s="401">
        <f>J76*(1-Recovery_OX!E76)*(1-Recovery_OX!F76)</f>
        <v>0</v>
      </c>
      <c r="N76" s="399">
        <f>K76*(1-Recovery_OX!E76)*(1-Recovery_OX!F76)</f>
        <v>58.037889835132127</v>
      </c>
      <c r="O76" s="400">
        <f>L76*(1-Recovery_OX!E76)*(1-Recovery_OX!F76)</f>
        <v>25.834521954716756</v>
      </c>
    </row>
    <row r="77" spans="2:15" x14ac:dyDescent="0.25">
      <c r="B77" s="393">
        <f t="shared" si="0"/>
        <v>2015</v>
      </c>
      <c r="C77" s="394">
        <f>Stored_C!E81</f>
        <v>0</v>
      </c>
      <c r="D77" s="395">
        <f>Stored_C!F81+Stored_C!L81</f>
        <v>74.016000000000005</v>
      </c>
      <c r="E77" s="396">
        <f>Stored_C!G81+Stored_C!M81</f>
        <v>64.648349999999994</v>
      </c>
      <c r="F77" s="397">
        <f>F76+HWP!C77</f>
        <v>0</v>
      </c>
      <c r="G77" s="395">
        <f>G76+HWP!D77</f>
        <v>6989.2513200000021</v>
      </c>
      <c r="H77" s="396">
        <f>H76+HWP!E77</f>
        <v>3120.1265475000005</v>
      </c>
      <c r="I77" s="379"/>
      <c r="J77" s="398">
        <f>Garden!J84</f>
        <v>0</v>
      </c>
      <c r="K77" s="399">
        <f>Paper!J84</f>
        <v>74.531437546790286</v>
      </c>
      <c r="L77" s="400">
        <f>Wood!J84</f>
        <v>34.135644614742446</v>
      </c>
      <c r="M77" s="401">
        <f>J77*(1-Recovery_OX!E77)*(1-Recovery_OX!F77)</f>
        <v>0</v>
      </c>
      <c r="N77" s="399">
        <f>K77*(1-Recovery_OX!E77)*(1-Recovery_OX!F77)</f>
        <v>58.297722077339593</v>
      </c>
      <c r="O77" s="400">
        <f>L77*(1-Recovery_OX!E77)*(1-Recovery_OX!F77)</f>
        <v>26.700549300847211</v>
      </c>
    </row>
    <row r="78" spans="2:15" x14ac:dyDescent="0.25">
      <c r="B78" s="393">
        <f t="shared" ref="B78:B102" si="1">B77+1</f>
        <v>2016</v>
      </c>
      <c r="C78" s="394">
        <f>Stored_C!E82</f>
        <v>0</v>
      </c>
      <c r="D78" s="395">
        <f>Stored_C!F82+Stored_C!L82</f>
        <v>71.971199999999996</v>
      </c>
      <c r="E78" s="396">
        <f>Stored_C!G82+Stored_C!M82</f>
        <v>62.862344999999998</v>
      </c>
      <c r="F78" s="397">
        <f>F77+HWP!C78</f>
        <v>0</v>
      </c>
      <c r="G78" s="395">
        <f>G77+HWP!D78</f>
        <v>7061.2225200000021</v>
      </c>
      <c r="H78" s="396">
        <f>H77+HWP!E78</f>
        <v>3182.9888925000005</v>
      </c>
      <c r="I78" s="379"/>
      <c r="J78" s="398">
        <f>Garden!J85</f>
        <v>0</v>
      </c>
      <c r="K78" s="399">
        <f>Paper!J85</f>
        <v>73.351992458917238</v>
      </c>
      <c r="L78" s="400">
        <f>Wood!J85</f>
        <v>34.527925344736822</v>
      </c>
      <c r="M78" s="401">
        <f>J78*(1-Recovery_OX!E78)*(1-Recovery_OX!F78)</f>
        <v>0</v>
      </c>
      <c r="N78" s="399">
        <f>K78*(1-Recovery_OX!E78)*(1-Recovery_OX!F78)</f>
        <v>57.181369850334974</v>
      </c>
      <c r="O78" s="400">
        <f>L78*(1-Recovery_OX!E78)*(1-Recovery_OX!F78)</f>
        <v>26.916161417264039</v>
      </c>
    </row>
    <row r="79" spans="2:15" x14ac:dyDescent="0.25">
      <c r="B79" s="393">
        <f t="shared" si="1"/>
        <v>2017</v>
      </c>
      <c r="C79" s="394">
        <f>Stored_C!E83</f>
        <v>0</v>
      </c>
      <c r="D79" s="395">
        <f>Stored_C!F83+Stored_C!L83</f>
        <v>71.971199999999996</v>
      </c>
      <c r="E79" s="396">
        <f>Stored_C!G83+Stored_C!M83</f>
        <v>62.862344999999998</v>
      </c>
      <c r="F79" s="397">
        <f>F78+HWP!C79</f>
        <v>0</v>
      </c>
      <c r="G79" s="395">
        <f>G78+HWP!D79</f>
        <v>7133.193720000002</v>
      </c>
      <c r="H79" s="396">
        <f>H78+HWP!E79</f>
        <v>3245.8512375000005</v>
      </c>
      <c r="I79" s="379"/>
      <c r="J79" s="398">
        <f>Garden!J86</f>
        <v>0</v>
      </c>
      <c r="K79" s="399">
        <f>Paper!J86</f>
        <v>72.153907659248489</v>
      </c>
      <c r="L79" s="400">
        <f>Wood!J86</f>
        <v>34.869903848830219</v>
      </c>
      <c r="M79" s="401">
        <f>J79*(1-Recovery_OX!E79)*(1-Recovery_OX!F79)</f>
        <v>0</v>
      </c>
      <c r="N79" s="399">
        <f>K79*(1-Recovery_OX!E79)*(1-Recovery_OX!F79)</f>
        <v>56.159136282001043</v>
      </c>
      <c r="O79" s="400">
        <f>L79*(1-Recovery_OX!E79)*(1-Recovery_OX!F79)</f>
        <v>27.140091866330458</v>
      </c>
    </row>
    <row r="80" spans="2:15" x14ac:dyDescent="0.25">
      <c r="B80" s="393">
        <f t="shared" si="1"/>
        <v>2018</v>
      </c>
      <c r="C80" s="394">
        <f>Stored_C!E84</f>
        <v>0</v>
      </c>
      <c r="D80" s="395">
        <f>Stored_C!F84+Stored_C!L84</f>
        <v>71.971199999999996</v>
      </c>
      <c r="E80" s="396">
        <f>Stored_C!G84+Stored_C!M84</f>
        <v>62.862344999999998</v>
      </c>
      <c r="F80" s="397">
        <f>F79+HWP!C80</f>
        <v>0</v>
      </c>
      <c r="G80" s="395">
        <f>G79+HWP!D80</f>
        <v>7205.164920000002</v>
      </c>
      <c r="H80" s="396">
        <f>H79+HWP!E80</f>
        <v>3308.7135825000005</v>
      </c>
      <c r="I80" s="379"/>
      <c r="J80" s="398">
        <f>Garden!J87</f>
        <v>0</v>
      </c>
      <c r="K80" s="399">
        <f>Paper!J87</f>
        <v>71.025593886694068</v>
      </c>
      <c r="L80" s="400">
        <f>Wood!J87</f>
        <v>35.201775360697269</v>
      </c>
      <c r="M80" s="401">
        <f>J80*(1-Recovery_OX!E80)*(1-Recovery_OX!F80)</f>
        <v>0</v>
      </c>
      <c r="N80" s="399">
        <f>K80*(1-Recovery_OX!E80)*(1-Recovery_OX!F80)</f>
        <v>55.203145482967685</v>
      </c>
      <c r="O80" s="400">
        <f>L80*(1-Recovery_OX!E80)*(1-Recovery_OX!F80)</f>
        <v>27.359837773343372</v>
      </c>
    </row>
    <row r="81" spans="2:15" x14ac:dyDescent="0.25">
      <c r="B81" s="393">
        <f t="shared" si="1"/>
        <v>2019</v>
      </c>
      <c r="C81" s="394">
        <f>Stored_C!E85</f>
        <v>0</v>
      </c>
      <c r="D81" s="395">
        <f>Stored_C!F85+Stored_C!L85</f>
        <v>71.971199999999996</v>
      </c>
      <c r="E81" s="396">
        <f>Stored_C!G85+Stored_C!M85</f>
        <v>62.862344999999998</v>
      </c>
      <c r="F81" s="397">
        <f>F80+HWP!C81</f>
        <v>0</v>
      </c>
      <c r="G81" s="395">
        <f>G80+HWP!D81</f>
        <v>7277.1361200000019</v>
      </c>
      <c r="H81" s="396">
        <f>H80+HWP!E81</f>
        <v>3371.5759275000005</v>
      </c>
      <c r="I81" s="379"/>
      <c r="J81" s="398">
        <f>Garden!J88</f>
        <v>0</v>
      </c>
      <c r="K81" s="399">
        <f>Paper!J88</f>
        <v>69.962987992947674</v>
      </c>
      <c r="L81" s="400">
        <f>Wood!J88</f>
        <v>35.523838587100627</v>
      </c>
      <c r="M81" s="401">
        <f>J81*(1-Recovery_OX!E81)*(1-Recovery_OX!F81)</f>
        <v>0</v>
      </c>
      <c r="N81" s="399">
        <f>K81*(1-Recovery_OX!E81)*(1-Recovery_OX!F81)</f>
        <v>54.308594688138747</v>
      </c>
      <c r="O81" s="400">
        <f>L81*(1-Recovery_OX!E81)*(1-Recovery_OX!F81)</f>
        <v>27.575290977969399</v>
      </c>
    </row>
    <row r="82" spans="2:15" x14ac:dyDescent="0.25">
      <c r="B82" s="393">
        <f t="shared" si="1"/>
        <v>2020</v>
      </c>
      <c r="C82" s="394">
        <f>Stored_C!E86</f>
        <v>0</v>
      </c>
      <c r="D82" s="395">
        <f>Stored_C!F86+Stored_C!L86</f>
        <v>71.971199999999996</v>
      </c>
      <c r="E82" s="396">
        <f>Stored_C!G86+Stored_C!M86</f>
        <v>62.862344999999998</v>
      </c>
      <c r="F82" s="397">
        <f>F81+HWP!C82</f>
        <v>0</v>
      </c>
      <c r="G82" s="395">
        <f>G81+HWP!D82</f>
        <v>7349.1073200000019</v>
      </c>
      <c r="H82" s="396">
        <f>H81+HWP!E82</f>
        <v>3434.4382725000005</v>
      </c>
      <c r="I82" s="379"/>
      <c r="J82" s="398">
        <f>Garden!J89</f>
        <v>0</v>
      </c>
      <c r="K82" s="399">
        <f>Paper!J89</f>
        <v>68.962263449039725</v>
      </c>
      <c r="L82" s="400">
        <f>Wood!J89</f>
        <v>35.836383406683993</v>
      </c>
      <c r="M82" s="401">
        <f>J82*(1-Recovery_OX!E82)*(1-Recovery_OX!F82)</f>
        <v>0</v>
      </c>
      <c r="N82" s="399">
        <f>K82*(1-Recovery_OX!E82)*(1-Recovery_OX!F82)</f>
        <v>53.471088511451001</v>
      </c>
      <c r="O82" s="400">
        <f>L82*(1-Recovery_OX!E82)*(1-Recovery_OX!F82)</f>
        <v>27.786362181761831</v>
      </c>
    </row>
    <row r="83" spans="2:15" x14ac:dyDescent="0.25">
      <c r="B83" s="393">
        <f t="shared" si="1"/>
        <v>2021</v>
      </c>
      <c r="C83" s="394">
        <f>Stored_C!E87</f>
        <v>0</v>
      </c>
      <c r="D83" s="395">
        <f>Stored_C!F87+Stored_C!L87</f>
        <v>71.971199999999996</v>
      </c>
      <c r="E83" s="396">
        <f>Stored_C!G87+Stored_C!M87</f>
        <v>62.862344999999998</v>
      </c>
      <c r="F83" s="397">
        <f>F82+HWP!C83</f>
        <v>0</v>
      </c>
      <c r="G83" s="395">
        <f>G82+HWP!D83</f>
        <v>7421.0785200000018</v>
      </c>
      <c r="H83" s="396">
        <f>H82+HWP!E83</f>
        <v>3497.3006175000005</v>
      </c>
      <c r="I83" s="379"/>
      <c r="J83" s="398">
        <f>Garden!J90</f>
        <v>0</v>
      </c>
      <c r="K83" s="399">
        <f>Paper!J90</f>
        <v>68.019816565699955</v>
      </c>
      <c r="L83" s="400">
        <f>Wood!J90</f>
        <v>36.139691130882397</v>
      </c>
      <c r="M83" s="401">
        <f>J83*(1-Recovery_OX!E83)*(1-Recovery_OX!F83)</f>
        <v>0</v>
      </c>
      <c r="N83" s="399">
        <f>K83*(1-Recovery_OX!E83)*(1-Recovery_OX!F83)</f>
        <v>52.686601800949653</v>
      </c>
      <c r="O83" s="400">
        <f>L83*(1-Recovery_OX!E83)*(1-Recovery_OX!F83)</f>
        <v>27.992982221335083</v>
      </c>
    </row>
    <row r="84" spans="2:15" x14ac:dyDescent="0.25">
      <c r="B84" s="393">
        <f t="shared" si="1"/>
        <v>2022</v>
      </c>
      <c r="C84" s="394">
        <f>Stored_C!E88</f>
        <v>0</v>
      </c>
      <c r="D84" s="395">
        <f>Stored_C!F88+Stored_C!L88</f>
        <v>71.971199999999996</v>
      </c>
      <c r="E84" s="396">
        <f>Stored_C!G88+Stored_C!M88</f>
        <v>62.862344999999998</v>
      </c>
      <c r="F84" s="397">
        <f>F83+HWP!C84</f>
        <v>0</v>
      </c>
      <c r="G84" s="395">
        <f>G83+HWP!D84</f>
        <v>7493.0497200000018</v>
      </c>
      <c r="H84" s="396">
        <f>H83+HWP!E84</f>
        <v>3560.1629625000005</v>
      </c>
      <c r="I84" s="379"/>
      <c r="J84" s="398">
        <f>Garden!J91</f>
        <v>0</v>
      </c>
      <c r="K84" s="399">
        <f>Paper!J91</f>
        <v>67.132253516183525</v>
      </c>
      <c r="L84" s="400">
        <f>Wood!J91</f>
        <v>36.434034757121509</v>
      </c>
      <c r="M84" s="401">
        <f>J84*(1-Recovery_OX!E84)*(1-Recovery_OX!F84)</f>
        <v>0</v>
      </c>
      <c r="N84" s="399">
        <f>K84*(1-Recovery_OX!E84)*(1-Recovery_OX!F84)</f>
        <v>51.951444677015537</v>
      </c>
      <c r="O84" s="400">
        <f>L84*(1-Recovery_OX!E84)*(1-Recovery_OX!F84)</f>
        <v>28.195102084406614</v>
      </c>
    </row>
    <row r="85" spans="2:15" x14ac:dyDescent="0.25">
      <c r="B85" s="393">
        <f t="shared" si="1"/>
        <v>2023</v>
      </c>
      <c r="C85" s="394">
        <f>Stored_C!E89</f>
        <v>0</v>
      </c>
      <c r="D85" s="395">
        <f>Stored_C!F89+Stored_C!L89</f>
        <v>71.971199999999996</v>
      </c>
      <c r="E85" s="396">
        <f>Stored_C!G89+Stored_C!M89</f>
        <v>62.862344999999998</v>
      </c>
      <c r="F85" s="397">
        <f>F84+HWP!C85</f>
        <v>0</v>
      </c>
      <c r="G85" s="395">
        <f>G84+HWP!D85</f>
        <v>7565.0209200000018</v>
      </c>
      <c r="H85" s="396">
        <f>H84+HWP!E85</f>
        <v>3623.0253075000005</v>
      </c>
      <c r="I85" s="379"/>
      <c r="J85" s="398">
        <f>Garden!J92</f>
        <v>0</v>
      </c>
      <c r="K85" s="399">
        <f>Paper!J92</f>
        <v>66.296378114829082</v>
      </c>
      <c r="L85" s="400">
        <f>Wood!J92</f>
        <v>36.719679214533713</v>
      </c>
      <c r="M85" s="401">
        <f>J85*(1-Recovery_OX!E85)*(1-Recovery_OX!F85)</f>
        <v>0</v>
      </c>
      <c r="N85" s="399">
        <f>K85*(1-Recovery_OX!E85)*(1-Recovery_OX!F85)</f>
        <v>51.262230228425032</v>
      </c>
      <c r="O85" s="400">
        <f>L85*(1-Recovery_OX!E85)*(1-Recovery_OX!F85)</f>
        <v>28.392692079634177</v>
      </c>
    </row>
    <row r="86" spans="2:15" x14ac:dyDescent="0.25">
      <c r="B86" s="393">
        <f t="shared" si="1"/>
        <v>2024</v>
      </c>
      <c r="C86" s="394">
        <f>Stored_C!E90</f>
        <v>0</v>
      </c>
      <c r="D86" s="395">
        <f>Stored_C!F90+Stored_C!L90</f>
        <v>71.971199999999996</v>
      </c>
      <c r="E86" s="396">
        <f>Stored_C!G90+Stored_C!M90</f>
        <v>62.862344999999998</v>
      </c>
      <c r="F86" s="397">
        <f>F85+HWP!C86</f>
        <v>0</v>
      </c>
      <c r="G86" s="395">
        <f>G85+HWP!D86</f>
        <v>7636.9921200000017</v>
      </c>
      <c r="H86" s="396">
        <f>H85+HWP!E86</f>
        <v>3685.8876525000005</v>
      </c>
      <c r="I86" s="379"/>
      <c r="J86" s="398">
        <f>Garden!J93</f>
        <v>0</v>
      </c>
      <c r="K86" s="399">
        <f>Paper!J93</f>
        <v>65.509180307337971</v>
      </c>
      <c r="L86" s="400">
        <f>Wood!J93</f>
        <v>36.99688160241228</v>
      </c>
      <c r="M86" s="401">
        <f>J86*(1-Recovery_OX!E86)*(1-Recovery_OX!F86)</f>
        <v>0</v>
      </c>
      <c r="N86" s="399">
        <f>K86*(1-Recovery_OX!E86)*(1-Recovery_OX!F86)</f>
        <v>50.615845060388736</v>
      </c>
      <c r="O86" s="400">
        <f>L86*(1-Recovery_OX!E86)*(1-Recovery_OX!F86)</f>
        <v>28.585740473621609</v>
      </c>
    </row>
    <row r="87" spans="2:15" x14ac:dyDescent="0.25">
      <c r="B87" s="393">
        <f t="shared" si="1"/>
        <v>2025</v>
      </c>
      <c r="C87" s="394">
        <f>Stored_C!E91</f>
        <v>0</v>
      </c>
      <c r="D87" s="395">
        <f>Stored_C!F91+Stored_C!L91</f>
        <v>71.971199999999996</v>
      </c>
      <c r="E87" s="396">
        <f>Stored_C!G91+Stored_C!M91</f>
        <v>62.862344999999998</v>
      </c>
      <c r="F87" s="397">
        <f>F86+HWP!C87</f>
        <v>0</v>
      </c>
      <c r="G87" s="395">
        <f>G86+HWP!D87</f>
        <v>7708.9633200000017</v>
      </c>
      <c r="H87" s="396">
        <f>H86+HWP!E87</f>
        <v>3748.7499975000005</v>
      </c>
      <c r="I87" s="379"/>
      <c r="J87" s="398">
        <f>Garden!J94</f>
        <v>0</v>
      </c>
      <c r="K87" s="399">
        <f>Paper!J94</f>
        <v>64.767825331327558</v>
      </c>
      <c r="L87" s="400">
        <f>Wood!J94</f>
        <v>37.265891421618022</v>
      </c>
      <c r="M87" s="401">
        <f>J87*(1-Recovery_OX!E87)*(1-Recovery_OX!F87)</f>
        <v>0</v>
      </c>
      <c r="N87" s="399">
        <f>K87*(1-Recovery_OX!E87)*(1-Recovery_OX!F87)</f>
        <v>50.00942269974442</v>
      </c>
      <c r="O87" s="400">
        <f>L87*(1-Recovery_OX!E87)*(1-Recovery_OX!F87)</f>
        <v>28.774251827242502</v>
      </c>
    </row>
    <row r="88" spans="2:15" x14ac:dyDescent="0.25">
      <c r="B88" s="393">
        <f t="shared" si="1"/>
        <v>2026</v>
      </c>
      <c r="C88" s="394">
        <f>Stored_C!E92</f>
        <v>0</v>
      </c>
      <c r="D88" s="395">
        <f>Stored_C!F92+Stored_C!L92</f>
        <v>71.971199999999996</v>
      </c>
      <c r="E88" s="396">
        <f>Stored_C!G92+Stored_C!M92</f>
        <v>62.862344999999998</v>
      </c>
      <c r="F88" s="397">
        <f>F87+HWP!C88</f>
        <v>0</v>
      </c>
      <c r="G88" s="395">
        <f>G87+HWP!D88</f>
        <v>7780.9345200000016</v>
      </c>
      <c r="H88" s="396">
        <f>H87+HWP!E88</f>
        <v>3811.6123425000005</v>
      </c>
      <c r="I88" s="379"/>
      <c r="J88" s="398">
        <f>Garden!J95</f>
        <v>0</v>
      </c>
      <c r="K88" s="399">
        <f>Paper!J95</f>
        <v>64.069643508124756</v>
      </c>
      <c r="L88" s="400">
        <f>Wood!J95</f>
        <v>37.526950799146917</v>
      </c>
      <c r="M88" s="401">
        <f>J88*(1-Recovery_OX!E88)*(1-Recovery_OX!F88)</f>
        <v>0</v>
      </c>
      <c r="N88" s="399">
        <f>K88*(1-Recovery_OX!E88)*(1-Recovery_OX!F88)</f>
        <v>49.440319742407226</v>
      </c>
      <c r="O88" s="400">
        <f>L88*(1-Recovery_OX!E88)*(1-Recovery_OX!F88)</f>
        <v>28.958245198166729</v>
      </c>
    </row>
    <row r="89" spans="2:15" x14ac:dyDescent="0.25">
      <c r="B89" s="393">
        <f t="shared" si="1"/>
        <v>2027</v>
      </c>
      <c r="C89" s="394">
        <f>Stored_C!E93</f>
        <v>0</v>
      </c>
      <c r="D89" s="395">
        <f>Stored_C!F93+Stored_C!L93</f>
        <v>71.971199999999996</v>
      </c>
      <c r="E89" s="396">
        <f>Stored_C!G93+Stored_C!M93</f>
        <v>62.862344999999998</v>
      </c>
      <c r="F89" s="397">
        <f>F88+HWP!C89</f>
        <v>0</v>
      </c>
      <c r="G89" s="395">
        <f>G88+HWP!D89</f>
        <v>7852.9057200000016</v>
      </c>
      <c r="H89" s="396">
        <f>H88+HWP!E89</f>
        <v>3874.4746875000005</v>
      </c>
      <c r="I89" s="379"/>
      <c r="J89" s="398">
        <f>Garden!J96</f>
        <v>0</v>
      </c>
      <c r="K89" s="399">
        <f>Paper!J96</f>
        <v>63.412120629039165</v>
      </c>
      <c r="L89" s="400">
        <f>Wood!J96</f>
        <v>37.780294706060786</v>
      </c>
      <c r="M89" s="401">
        <f>J89*(1-Recovery_OX!E89)*(1-Recovery_OX!F89)</f>
        <v>0</v>
      </c>
      <c r="N89" s="399">
        <f>K89*(1-Recovery_OX!E89)*(1-Recovery_OX!F89)</f>
        <v>48.90609455805069</v>
      </c>
      <c r="O89" s="400">
        <f>L89*(1-Recovery_OX!E89)*(1-Recovery_OX!F89)</f>
        <v>29.137752325530883</v>
      </c>
    </row>
    <row r="90" spans="2:15" x14ac:dyDescent="0.25">
      <c r="B90" s="393">
        <f t="shared" si="1"/>
        <v>2028</v>
      </c>
      <c r="C90" s="394">
        <f>Stored_C!E94</f>
        <v>0</v>
      </c>
      <c r="D90" s="395">
        <f>Stored_C!F94+Stored_C!L94</f>
        <v>71.971199999999996</v>
      </c>
      <c r="E90" s="396">
        <f>Stored_C!G94+Stored_C!M94</f>
        <v>62.862344999999998</v>
      </c>
      <c r="F90" s="397">
        <f>F89+HWP!C90</f>
        <v>0</v>
      </c>
      <c r="G90" s="395">
        <f>G89+HWP!D90</f>
        <v>7924.8769200000015</v>
      </c>
      <c r="H90" s="396">
        <f>H89+HWP!E90</f>
        <v>3937.3370325000005</v>
      </c>
      <c r="I90" s="379"/>
      <c r="J90" s="398">
        <f>Garden!J97</f>
        <v>0</v>
      </c>
      <c r="K90" s="399">
        <f>Paper!J97</f>
        <v>62.792888901496156</v>
      </c>
      <c r="L90" s="400">
        <f>Wood!J97</f>
        <v>38.02615116897708</v>
      </c>
      <c r="M90" s="401">
        <f>J90*(1-Recovery_OX!E90)*(1-Recovery_OX!F90)</f>
        <v>0</v>
      </c>
      <c r="N90" s="399">
        <f>K90*(1-Recovery_OX!E90)*(1-Recovery_OX!F90)</f>
        <v>48.404488331775383</v>
      </c>
      <c r="O90" s="400">
        <f>L90*(1-Recovery_OX!E90)*(1-Recovery_OX!F90)</f>
        <v>29.312815873920101</v>
      </c>
    </row>
    <row r="91" spans="2:15" x14ac:dyDescent="0.25">
      <c r="B91" s="393">
        <f t="shared" si="1"/>
        <v>2029</v>
      </c>
      <c r="C91" s="394">
        <f>Stored_C!E95</f>
        <v>0</v>
      </c>
      <c r="D91" s="395">
        <f>Stored_C!F95+Stored_C!L95</f>
        <v>71.971199999999996</v>
      </c>
      <c r="E91" s="396">
        <f>Stored_C!G95+Stored_C!M95</f>
        <v>62.862344999999998</v>
      </c>
      <c r="F91" s="397">
        <f>F90+HWP!C91</f>
        <v>0</v>
      </c>
      <c r="G91" s="395">
        <f>G90+HWP!D91</f>
        <v>7996.8481200000015</v>
      </c>
      <c r="H91" s="396">
        <f>H90+HWP!E91</f>
        <v>4000.1993775000005</v>
      </c>
      <c r="I91" s="379"/>
      <c r="J91" s="398">
        <f>Garden!J98</f>
        <v>0</v>
      </c>
      <c r="K91" s="399">
        <f>Paper!J98</f>
        <v>62.209718422426036</v>
      </c>
      <c r="L91" s="400">
        <f>Wood!J98</f>
        <v>38.264741475308234</v>
      </c>
      <c r="M91" s="401">
        <f>J91*(1-Recovery_OX!E91)*(1-Recovery_OX!F91)</f>
        <v>0</v>
      </c>
      <c r="N91" s="399">
        <f>K91*(1-Recovery_OX!E91)*(1-Recovery_OX!F91)</f>
        <v>47.933408210787043</v>
      </c>
      <c r="O91" s="400">
        <f>L91*(1-Recovery_OX!E91)*(1-Recovery_OX!F91)</f>
        <v>29.483487785004755</v>
      </c>
    </row>
    <row r="92" spans="2:15" x14ac:dyDescent="0.25">
      <c r="B92" s="393">
        <f t="shared" si="1"/>
        <v>2030</v>
      </c>
      <c r="C92" s="394">
        <f>Stored_C!E96</f>
        <v>0</v>
      </c>
      <c r="D92" s="395">
        <f>Stored_C!F96+Stored_C!L96</f>
        <v>71.971199999999996</v>
      </c>
      <c r="E92" s="396">
        <f>Stored_C!G96+Stored_C!M96</f>
        <v>62.862344999999998</v>
      </c>
      <c r="F92" s="397">
        <f>F91+HWP!C92</f>
        <v>0</v>
      </c>
      <c r="G92" s="395">
        <f>G91+HWP!D92</f>
        <v>8068.8193200000014</v>
      </c>
      <c r="H92" s="396">
        <f>H91+HWP!E92</f>
        <v>4063.0617225000005</v>
      </c>
      <c r="I92" s="379"/>
      <c r="J92" s="398">
        <f>Garden!J99</f>
        <v>0</v>
      </c>
      <c r="K92" s="399">
        <f>Paper!J99</f>
        <v>61.660509148204468</v>
      </c>
      <c r="L92" s="400">
        <f>Wood!J99</f>
        <v>38.49628037243528</v>
      </c>
      <c r="M92" s="401">
        <f>J92*(1-Recovery_OX!E92)*(1-Recovery_OX!F92)</f>
        <v>0</v>
      </c>
      <c r="N92" s="399">
        <f>K92*(1-Recovery_OX!E92)*(1-Recovery_OX!F92)</f>
        <v>47.490912327444718</v>
      </c>
      <c r="O92" s="400">
        <f>L92*(1-Recovery_OX!E92)*(1-Recovery_OX!F92)</f>
        <v>29.649827764247256</v>
      </c>
    </row>
    <row r="93" spans="2:15" x14ac:dyDescent="0.25">
      <c r="B93" s="393">
        <f t="shared" si="1"/>
        <v>2031</v>
      </c>
      <c r="C93" s="394">
        <f>Stored_C!E97</f>
        <v>0</v>
      </c>
      <c r="D93" s="395">
        <f>Stored_C!F97+Stored_C!L97</f>
        <v>71.971199999999996</v>
      </c>
      <c r="E93" s="396">
        <f>Stored_C!G97+Stored_C!M97</f>
        <v>62.862344999999998</v>
      </c>
      <c r="F93" s="397">
        <f>F92+HWP!C93</f>
        <v>0</v>
      </c>
      <c r="G93" s="395">
        <f>G92+HWP!D93</f>
        <v>8140.7905200000014</v>
      </c>
      <c r="H93" s="396">
        <f>H92+HWP!E93</f>
        <v>4125.9240675000001</v>
      </c>
      <c r="I93" s="379"/>
      <c r="J93" s="398">
        <f>Garden!J100</f>
        <v>0</v>
      </c>
      <c r="K93" s="399">
        <f>Paper!J100</f>
        <v>61.14328333222705</v>
      </c>
      <c r="L93" s="400">
        <f>Wood!J100</f>
        <v>38.720976260994959</v>
      </c>
      <c r="M93" s="401">
        <f>J93*(1-Recovery_OX!E93)*(1-Recovery_OX!F93)</f>
        <v>0</v>
      </c>
      <c r="N93" s="399">
        <f>K93*(1-Recovery_OX!E93)*(1-Recovery_OX!F93)</f>
        <v>47.075196482454913</v>
      </c>
      <c r="O93" s="400">
        <f>L93*(1-Recovery_OX!E93)*(1-Recovery_OX!F93)</f>
        <v>29.811901915284629</v>
      </c>
    </row>
    <row r="94" spans="2:15" x14ac:dyDescent="0.25">
      <c r="B94" s="393">
        <f t="shared" si="1"/>
        <v>2032</v>
      </c>
      <c r="C94" s="394">
        <f>Stored_C!E98</f>
        <v>0</v>
      </c>
      <c r="D94" s="395">
        <f>Stored_C!F98+Stored_C!L98</f>
        <v>71.971199999999996</v>
      </c>
      <c r="E94" s="396">
        <f>Stored_C!G98+Stored_C!M98</f>
        <v>62.862344999999998</v>
      </c>
      <c r="F94" s="397">
        <f>F93+HWP!C94</f>
        <v>0</v>
      </c>
      <c r="G94" s="395">
        <f>G93+HWP!D94</f>
        <v>8212.7617200000022</v>
      </c>
      <c r="H94" s="396">
        <f>H93+HWP!E94</f>
        <v>4188.7864124999996</v>
      </c>
      <c r="I94" s="379"/>
      <c r="J94" s="398">
        <f>Garden!J101</f>
        <v>0</v>
      </c>
      <c r="K94" s="399">
        <f>Paper!J101</f>
        <v>60.656178402885338</v>
      </c>
      <c r="L94" s="400">
        <f>Wood!J101</f>
        <v>38.939031382454409</v>
      </c>
      <c r="M94" s="401">
        <f>J94*(1-Recovery_OX!E94)*(1-Recovery_OX!F94)</f>
        <v>0</v>
      </c>
      <c r="N94" s="399">
        <f>K94*(1-Recovery_OX!E94)*(1-Recovery_OX!F94)</f>
        <v>46.684582289330429</v>
      </c>
      <c r="O94" s="400">
        <f>L94*(1-Recovery_OX!E94)*(1-Recovery_OX!F94)</f>
        <v>29.969781524424889</v>
      </c>
    </row>
    <row r="95" spans="2:15" x14ac:dyDescent="0.25">
      <c r="B95" s="393">
        <f t="shared" si="1"/>
        <v>2033</v>
      </c>
      <c r="C95" s="394">
        <f>Stored_C!E99</f>
        <v>0</v>
      </c>
      <c r="D95" s="395">
        <f>Stored_C!F99+Stored_C!L99</f>
        <v>71.971199999999996</v>
      </c>
      <c r="E95" s="396">
        <f>Stored_C!G99+Stored_C!M99</f>
        <v>62.862344999999998</v>
      </c>
      <c r="F95" s="397">
        <f>F94+HWP!C95</f>
        <v>0</v>
      </c>
      <c r="G95" s="395">
        <f>G94+HWP!D95</f>
        <v>8284.7329200000022</v>
      </c>
      <c r="H95" s="396">
        <f>H94+HWP!E95</f>
        <v>4251.6487574999992</v>
      </c>
      <c r="I95" s="379"/>
      <c r="J95" s="398">
        <f>Garden!J102</f>
        <v>0</v>
      </c>
      <c r="K95" s="399">
        <f>Paper!J102</f>
        <v>60.197440256297263</v>
      </c>
      <c r="L95" s="400">
        <f>Wood!J102</f>
        <v>39.150642001142124</v>
      </c>
      <c r="M95" s="401">
        <f>J95*(1-Recovery_OX!E95)*(1-Recovery_OX!F95)</f>
        <v>0</v>
      </c>
      <c r="N95" s="399">
        <f>K95*(1-Recovery_OX!E95)*(1-Recovery_OX!F95)</f>
        <v>46.317506600719589</v>
      </c>
      <c r="O95" s="400">
        <f>L95*(1-Recovery_OX!E95)*(1-Recovery_OX!F95)</f>
        <v>30.12354199098381</v>
      </c>
    </row>
    <row r="96" spans="2:15" x14ac:dyDescent="0.25">
      <c r="B96" s="393">
        <f t="shared" si="1"/>
        <v>2034</v>
      </c>
      <c r="C96" s="394">
        <f>Stored_C!E100</f>
        <v>0</v>
      </c>
      <c r="D96" s="395">
        <f>Stored_C!F100+Stored_C!L100</f>
        <v>71.971199999999996</v>
      </c>
      <c r="E96" s="396">
        <f>Stored_C!G100+Stored_C!M100</f>
        <v>62.862344999999998</v>
      </c>
      <c r="F96" s="397">
        <f>F95+HWP!C96</f>
        <v>0</v>
      </c>
      <c r="G96" s="395">
        <f>G95+HWP!D96</f>
        <v>8356.7041200000021</v>
      </c>
      <c r="H96" s="396">
        <f>H95+HWP!E96</f>
        <v>4314.5111024999987</v>
      </c>
      <c r="I96" s="379"/>
      <c r="J96" s="398">
        <f>Garden!J103</f>
        <v>0</v>
      </c>
      <c r="K96" s="399">
        <f>Paper!J103</f>
        <v>59.765416939638442</v>
      </c>
      <c r="L96" s="400">
        <f>Wood!J103</f>
        <v>39.355998580899048</v>
      </c>
      <c r="M96" s="401">
        <f>J96*(1-Recovery_OX!E96)*(1-Recovery_OX!F96)</f>
        <v>0</v>
      </c>
      <c r="N96" s="399">
        <f>K96*(1-Recovery_OX!E96)*(1-Recovery_OX!F96)</f>
        <v>45.972512057050544</v>
      </c>
      <c r="O96" s="400">
        <f>L96*(1-Recovery_OX!E96)*(1-Recovery_OX!F96)</f>
        <v>30.273261895001703</v>
      </c>
    </row>
    <row r="97" spans="2:15" x14ac:dyDescent="0.25">
      <c r="B97" s="393">
        <f t="shared" si="1"/>
        <v>2035</v>
      </c>
      <c r="C97" s="394">
        <f>Stored_C!E101</f>
        <v>0</v>
      </c>
      <c r="D97" s="395">
        <f>Stored_C!F101+Stored_C!L101</f>
        <v>71.971199999999996</v>
      </c>
      <c r="E97" s="396">
        <f>Stored_C!G101+Stored_C!M101</f>
        <v>62.862344999999998</v>
      </c>
      <c r="F97" s="397">
        <f>F96+HWP!C97</f>
        <v>0</v>
      </c>
      <c r="G97" s="395">
        <f>G96+HWP!D97</f>
        <v>8428.6753200000021</v>
      </c>
      <c r="H97" s="396">
        <f>H96+HWP!E97</f>
        <v>4377.3734474999983</v>
      </c>
      <c r="I97" s="379"/>
      <c r="J97" s="398">
        <f>Garden!J104</f>
        <v>0</v>
      </c>
      <c r="K97" s="399">
        <f>Paper!J104</f>
        <v>59.358552702327707</v>
      </c>
      <c r="L97" s="400">
        <f>Wood!J104</f>
        <v>39.555285956508946</v>
      </c>
      <c r="M97" s="401">
        <f>J97*(1-Recovery_OX!E97)*(1-Recovery_OX!F97)</f>
        <v>0</v>
      </c>
      <c r="N97" s="399">
        <f>K97*(1-Recovery_OX!E97)*(1-Recovery_OX!F97)</f>
        <v>45.648238617028412</v>
      </c>
      <c r="O97" s="400">
        <f>L97*(1-Recovery_OX!E97)*(1-Recovery_OX!F97)</f>
        <v>30.419022191501419</v>
      </c>
    </row>
    <row r="98" spans="2:15" x14ac:dyDescent="0.25">
      <c r="B98" s="393">
        <f t="shared" si="1"/>
        <v>2036</v>
      </c>
      <c r="C98" s="394">
        <f>Stored_C!E102</f>
        <v>0</v>
      </c>
      <c r="D98" s="395">
        <f>Stored_C!F102+Stored_C!L102</f>
        <v>71.971199999999996</v>
      </c>
      <c r="E98" s="396">
        <f>Stored_C!G102+Stored_C!M102</f>
        <v>62.862344999999998</v>
      </c>
      <c r="F98" s="397">
        <f>F97+HWP!C98</f>
        <v>0</v>
      </c>
      <c r="G98" s="395">
        <f>G97+HWP!D98</f>
        <v>8500.6465200000021</v>
      </c>
      <c r="H98" s="396">
        <f>H97+HWP!E98</f>
        <v>4440.2357924999978</v>
      </c>
      <c r="I98" s="379"/>
      <c r="J98" s="398">
        <f>Garden!J105</f>
        <v>0</v>
      </c>
      <c r="K98" s="399">
        <f>Paper!J105</f>
        <v>58.975382393644665</v>
      </c>
      <c r="L98" s="400">
        <f>Wood!J105</f>
        <v>39.748683500062185</v>
      </c>
      <c r="M98" s="401">
        <f>J98*(1-Recovery_OX!E98)*(1-Recovery_OX!F98)</f>
        <v>0</v>
      </c>
      <c r="N98" s="399">
        <f>K98*(1-Recovery_OX!E98)*(1-Recovery_OX!F98)</f>
        <v>45.343415947249788</v>
      </c>
      <c r="O98" s="400">
        <f>L98*(1-Recovery_OX!E98)*(1-Recovery_OX!F98)</f>
        <v>30.560905519336302</v>
      </c>
    </row>
    <row r="99" spans="2:15" x14ac:dyDescent="0.25">
      <c r="B99" s="393">
        <f t="shared" si="1"/>
        <v>2037</v>
      </c>
      <c r="C99" s="394">
        <f>Stored_C!E103</f>
        <v>0</v>
      </c>
      <c r="D99" s="395">
        <f>Stored_C!F103+Stored_C!L103</f>
        <v>71.971199999999996</v>
      </c>
      <c r="E99" s="396">
        <f>Stored_C!G103+Stored_C!M103</f>
        <v>62.862344999999998</v>
      </c>
      <c r="F99" s="397">
        <f>F98+HWP!C99</f>
        <v>0</v>
      </c>
      <c r="G99" s="395">
        <f>G98+HWP!D99</f>
        <v>8572.617720000002</v>
      </c>
      <c r="H99" s="396">
        <f>H98+HWP!E99</f>
        <v>4503.0981374999974</v>
      </c>
      <c r="I99" s="379"/>
      <c r="J99" s="398">
        <f>Garden!J106</f>
        <v>0</v>
      </c>
      <c r="K99" s="399">
        <f>Paper!J106</f>
        <v>58.614526186604451</v>
      </c>
      <c r="L99" s="400">
        <f>Wood!J106</f>
        <v>39.936365282402676</v>
      </c>
      <c r="M99" s="401">
        <f>J99*(1-Recovery_OX!E99)*(1-Recovery_OX!F99)</f>
        <v>0</v>
      </c>
      <c r="N99" s="399">
        <f>K99*(1-Recovery_OX!E99)*(1-Recovery_OX!F99)</f>
        <v>45.056856564258489</v>
      </c>
      <c r="O99" s="400">
        <f>L99*(1-Recovery_OX!E99)*(1-Recovery_OX!F99)</f>
        <v>30.698995612426867</v>
      </c>
    </row>
    <row r="100" spans="2:15" x14ac:dyDescent="0.25">
      <c r="B100" s="393">
        <f t="shared" si="1"/>
        <v>2038</v>
      </c>
      <c r="C100" s="394">
        <f>Stored_C!E104</f>
        <v>0</v>
      </c>
      <c r="D100" s="395">
        <f>Stored_C!F104+Stored_C!L104</f>
        <v>71.971199999999996</v>
      </c>
      <c r="E100" s="396">
        <f>Stored_C!G104+Stored_C!M104</f>
        <v>62.862344999999998</v>
      </c>
      <c r="F100" s="397">
        <f>F99+HWP!C100</f>
        <v>0</v>
      </c>
      <c r="G100" s="395">
        <f>G99+HWP!D100</f>
        <v>8644.588920000002</v>
      </c>
      <c r="H100" s="396">
        <f>H99+HWP!E100</f>
        <v>4565.9604824999969</v>
      </c>
      <c r="I100" s="379"/>
      <c r="J100" s="398">
        <f>Garden!J107</f>
        <v>0</v>
      </c>
      <c r="K100" s="399">
        <f>Paper!J107</f>
        <v>58.274684609090237</v>
      </c>
      <c r="L100" s="400">
        <f>Wood!J107</f>
        <v>40.118500229803431</v>
      </c>
      <c r="M100" s="401">
        <f>J100*(1-Recovery_OX!E100)*(1-Recovery_OX!F100)</f>
        <v>0</v>
      </c>
      <c r="N100" s="399">
        <f>K100*(1-Recovery_OX!E100)*(1-Recovery_OX!F100)</f>
        <v>44.7874496366627</v>
      </c>
      <c r="O100" s="400">
        <f>L100*(1-Recovery_OX!E100)*(1-Recovery_OX!F100)</f>
        <v>30.833376801501892</v>
      </c>
    </row>
    <row r="101" spans="2:15" x14ac:dyDescent="0.25">
      <c r="B101" s="393">
        <f t="shared" si="1"/>
        <v>2039</v>
      </c>
      <c r="C101" s="394">
        <f>Stored_C!E105</f>
        <v>0</v>
      </c>
      <c r="D101" s="395">
        <f>Stored_C!F105+Stored_C!L105</f>
        <v>71.971199999999996</v>
      </c>
      <c r="E101" s="396">
        <f>Stored_C!G105+Stored_C!M105</f>
        <v>62.862344999999998</v>
      </c>
      <c r="F101" s="397">
        <f>F100+HWP!C101</f>
        <v>0</v>
      </c>
      <c r="G101" s="395">
        <f>G100+HWP!D101</f>
        <v>8716.5601200000019</v>
      </c>
      <c r="H101" s="396">
        <f>H100+HWP!E101</f>
        <v>4628.8228274999965</v>
      </c>
      <c r="I101" s="379"/>
      <c r="J101" s="398">
        <f>Garden!J108</f>
        <v>0</v>
      </c>
      <c r="K101" s="399">
        <f>Paper!J108</f>
        <v>57.954633864350036</v>
      </c>
      <c r="L101" s="400">
        <f>Wood!J108</f>
        <v>40.295252276011581</v>
      </c>
      <c r="M101" s="401">
        <f>J101*(1-Recovery_OX!E101)*(1-Recovery_OX!F101)</f>
        <v>0</v>
      </c>
      <c r="N101" s="399">
        <f>K101*(1-Recovery_OX!E101)*(1-Recovery_OX!F101)</f>
        <v>44.534155367499153</v>
      </c>
      <c r="O101" s="400">
        <f>L101*(1-Recovery_OX!E101)*(1-Recovery_OX!F101)</f>
        <v>30.964133595128171</v>
      </c>
    </row>
    <row r="102" spans="2:15" ht="15.75" thickBot="1" x14ac:dyDescent="0.3">
      <c r="B102" s="402">
        <f t="shared" si="1"/>
        <v>2040</v>
      </c>
      <c r="C102" s="403">
        <f>Stored_C!E106</f>
        <v>0</v>
      </c>
      <c r="D102" s="404">
        <f>Stored_C!F106+Stored_C!L106</f>
        <v>71.971199999999996</v>
      </c>
      <c r="E102" s="405">
        <f>Stored_C!G106+Stored_C!M106</f>
        <v>62.862344999999998</v>
      </c>
      <c r="F102" s="406">
        <f>F101+HWP!C102</f>
        <v>0</v>
      </c>
      <c r="G102" s="404">
        <f>G101+HWP!D102</f>
        <v>8788.5313200000019</v>
      </c>
      <c r="H102" s="405">
        <f>H101+HWP!E102</f>
        <v>4691.685172499996</v>
      </c>
      <c r="I102" s="379"/>
      <c r="J102" s="407">
        <f>Garden!J109</f>
        <v>0</v>
      </c>
      <c r="K102" s="408">
        <f>Paper!J109</f>
        <v>57.653221424006475</v>
      </c>
      <c r="L102" s="409">
        <f>Wood!J109</f>
        <v>40.466780509799833</v>
      </c>
      <c r="M102" s="410">
        <f>J102*(1-Recovery_OX!E102)*(1-Recovery_OX!F102)</f>
        <v>0</v>
      </c>
      <c r="N102" s="408">
        <f>K102*(1-Recovery_OX!E102)*(1-Recovery_OX!F102)</f>
        <v>44.295999887969622</v>
      </c>
      <c r="O102" s="409">
        <f>L102*(1-Recovery_OX!E102)*(1-Recovery_OX!F102)</f>
        <v>31.091350329683245</v>
      </c>
    </row>
  </sheetData>
  <mergeCells count="4">
    <mergeCell ref="C8:E8"/>
    <mergeCell ref="F8:H8"/>
    <mergeCell ref="J8:L8"/>
    <mergeCell ref="M8:O8"/>
  </mergeCell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
    <tabColor theme="2" tint="-0.499984740745262"/>
  </sheetPr>
  <dimension ref="B1:O106"/>
  <sheetViews>
    <sheetView workbookViewId="0"/>
  </sheetViews>
  <sheetFormatPr defaultColWidth="11.42578125" defaultRowHeight="15" x14ac:dyDescent="0.25"/>
  <cols>
    <col min="1" max="1" width="4" style="44" customWidth="1"/>
    <col min="2" max="2" width="7.5703125" style="411" customWidth="1"/>
    <col min="3" max="3" width="8.85546875" style="356" customWidth="1"/>
    <col min="4" max="4" width="8.28515625" style="356" customWidth="1"/>
    <col min="5" max="5" width="9.85546875" style="356" customWidth="1"/>
    <col min="6" max="6" width="9.140625" style="356" customWidth="1"/>
    <col min="7" max="9" width="8.5703125" style="356" customWidth="1"/>
    <col min="10" max="10" width="7.42578125" style="356" customWidth="1"/>
    <col min="11" max="11" width="7.85546875" style="356" customWidth="1"/>
    <col min="12" max="13" width="8.85546875" style="44" customWidth="1"/>
    <col min="14" max="14" width="12.28515625" style="356" customWidth="1"/>
    <col min="15" max="15" width="13.85546875" style="44" customWidth="1"/>
    <col min="16" max="256" width="11.42578125" style="44"/>
    <col min="257" max="257" width="4" style="44" customWidth="1"/>
    <col min="258" max="258" width="7.5703125" style="44" customWidth="1"/>
    <col min="259" max="259" width="8.85546875" style="44" customWidth="1"/>
    <col min="260" max="260" width="8.28515625" style="44" customWidth="1"/>
    <col min="261" max="261" width="9.85546875" style="44" customWidth="1"/>
    <col min="262" max="262" width="9.140625" style="44" customWidth="1"/>
    <col min="263" max="265" width="8.5703125" style="44" customWidth="1"/>
    <col min="266" max="266" width="7.42578125" style="44" customWidth="1"/>
    <col min="267" max="267" width="7.85546875" style="44" customWidth="1"/>
    <col min="268" max="269" width="8.85546875" style="44" customWidth="1"/>
    <col min="270" max="270" width="12.28515625" style="44" customWidth="1"/>
    <col min="271" max="271" width="13.85546875" style="44" customWidth="1"/>
    <col min="272" max="512" width="11.42578125" style="44"/>
    <col min="513" max="513" width="4" style="44" customWidth="1"/>
    <col min="514" max="514" width="7.5703125" style="44" customWidth="1"/>
    <col min="515" max="515" width="8.85546875" style="44" customWidth="1"/>
    <col min="516" max="516" width="8.28515625" style="44" customWidth="1"/>
    <col min="517" max="517" width="9.85546875" style="44" customWidth="1"/>
    <col min="518" max="518" width="9.140625" style="44" customWidth="1"/>
    <col min="519" max="521" width="8.5703125" style="44" customWidth="1"/>
    <col min="522" max="522" width="7.42578125" style="44" customWidth="1"/>
    <col min="523" max="523" width="7.85546875" style="44" customWidth="1"/>
    <col min="524" max="525" width="8.85546875" style="44" customWidth="1"/>
    <col min="526" max="526" width="12.28515625" style="44" customWidth="1"/>
    <col min="527" max="527" width="13.85546875" style="44" customWidth="1"/>
    <col min="528" max="768" width="11.42578125" style="44"/>
    <col min="769" max="769" width="4" style="44" customWidth="1"/>
    <col min="770" max="770" width="7.5703125" style="44" customWidth="1"/>
    <col min="771" max="771" width="8.85546875" style="44" customWidth="1"/>
    <col min="772" max="772" width="8.28515625" style="44" customWidth="1"/>
    <col min="773" max="773" width="9.85546875" style="44" customWidth="1"/>
    <col min="774" max="774" width="9.140625" style="44" customWidth="1"/>
    <col min="775" max="777" width="8.5703125" style="44" customWidth="1"/>
    <col min="778" max="778" width="7.42578125" style="44" customWidth="1"/>
    <col min="779" max="779" width="7.85546875" style="44" customWidth="1"/>
    <col min="780" max="781" width="8.85546875" style="44" customWidth="1"/>
    <col min="782" max="782" width="12.28515625" style="44" customWidth="1"/>
    <col min="783" max="783" width="13.85546875" style="44" customWidth="1"/>
    <col min="784" max="1024" width="11.42578125" style="44"/>
    <col min="1025" max="1025" width="4" style="44" customWidth="1"/>
    <col min="1026" max="1026" width="7.5703125" style="44" customWidth="1"/>
    <col min="1027" max="1027" width="8.85546875" style="44" customWidth="1"/>
    <col min="1028" max="1028" width="8.28515625" style="44" customWidth="1"/>
    <col min="1029" max="1029" width="9.85546875" style="44" customWidth="1"/>
    <col min="1030" max="1030" width="9.140625" style="44" customWidth="1"/>
    <col min="1031" max="1033" width="8.5703125" style="44" customWidth="1"/>
    <col min="1034" max="1034" width="7.42578125" style="44" customWidth="1"/>
    <col min="1035" max="1035" width="7.85546875" style="44" customWidth="1"/>
    <col min="1036" max="1037" width="8.85546875" style="44" customWidth="1"/>
    <col min="1038" max="1038" width="12.28515625" style="44" customWidth="1"/>
    <col min="1039" max="1039" width="13.85546875" style="44" customWidth="1"/>
    <col min="1040" max="1280" width="11.42578125" style="44"/>
    <col min="1281" max="1281" width="4" style="44" customWidth="1"/>
    <col min="1282" max="1282" width="7.5703125" style="44" customWidth="1"/>
    <col min="1283" max="1283" width="8.85546875" style="44" customWidth="1"/>
    <col min="1284" max="1284" width="8.28515625" style="44" customWidth="1"/>
    <col min="1285" max="1285" width="9.85546875" style="44" customWidth="1"/>
    <col min="1286" max="1286" width="9.140625" style="44" customWidth="1"/>
    <col min="1287" max="1289" width="8.5703125" style="44" customWidth="1"/>
    <col min="1290" max="1290" width="7.42578125" style="44" customWidth="1"/>
    <col min="1291" max="1291" width="7.85546875" style="44" customWidth="1"/>
    <col min="1292" max="1293" width="8.85546875" style="44" customWidth="1"/>
    <col min="1294" max="1294" width="12.28515625" style="44" customWidth="1"/>
    <col min="1295" max="1295" width="13.85546875" style="44" customWidth="1"/>
    <col min="1296" max="1536" width="11.42578125" style="44"/>
    <col min="1537" max="1537" width="4" style="44" customWidth="1"/>
    <col min="1538" max="1538" width="7.5703125" style="44" customWidth="1"/>
    <col min="1539" max="1539" width="8.85546875" style="44" customWidth="1"/>
    <col min="1540" max="1540" width="8.28515625" style="44" customWidth="1"/>
    <col min="1541" max="1541" width="9.85546875" style="44" customWidth="1"/>
    <col min="1542" max="1542" width="9.140625" style="44" customWidth="1"/>
    <col min="1543" max="1545" width="8.5703125" style="44" customWidth="1"/>
    <col min="1546" max="1546" width="7.42578125" style="44" customWidth="1"/>
    <col min="1547" max="1547" width="7.85546875" style="44" customWidth="1"/>
    <col min="1548" max="1549" width="8.85546875" style="44" customWidth="1"/>
    <col min="1550" max="1550" width="12.28515625" style="44" customWidth="1"/>
    <col min="1551" max="1551" width="13.85546875" style="44" customWidth="1"/>
    <col min="1552" max="1792" width="11.42578125" style="44"/>
    <col min="1793" max="1793" width="4" style="44" customWidth="1"/>
    <col min="1794" max="1794" width="7.5703125" style="44" customWidth="1"/>
    <col min="1795" max="1795" width="8.85546875" style="44" customWidth="1"/>
    <col min="1796" max="1796" width="8.28515625" style="44" customWidth="1"/>
    <col min="1797" max="1797" width="9.85546875" style="44" customWidth="1"/>
    <col min="1798" max="1798" width="9.140625" style="44" customWidth="1"/>
    <col min="1799" max="1801" width="8.5703125" style="44" customWidth="1"/>
    <col min="1802" max="1802" width="7.42578125" style="44" customWidth="1"/>
    <col min="1803" max="1803" width="7.85546875" style="44" customWidth="1"/>
    <col min="1804" max="1805" width="8.85546875" style="44" customWidth="1"/>
    <col min="1806" max="1806" width="12.28515625" style="44" customWidth="1"/>
    <col min="1807" max="1807" width="13.85546875" style="44" customWidth="1"/>
    <col min="1808" max="2048" width="11.42578125" style="44"/>
    <col min="2049" max="2049" width="4" style="44" customWidth="1"/>
    <col min="2050" max="2050" width="7.5703125" style="44" customWidth="1"/>
    <col min="2051" max="2051" width="8.85546875" style="44" customWidth="1"/>
    <col min="2052" max="2052" width="8.28515625" style="44" customWidth="1"/>
    <col min="2053" max="2053" width="9.85546875" style="44" customWidth="1"/>
    <col min="2054" max="2054" width="9.140625" style="44" customWidth="1"/>
    <col min="2055" max="2057" width="8.5703125" style="44" customWidth="1"/>
    <col min="2058" max="2058" width="7.42578125" style="44" customWidth="1"/>
    <col min="2059" max="2059" width="7.85546875" style="44" customWidth="1"/>
    <col min="2060" max="2061" width="8.85546875" style="44" customWidth="1"/>
    <col min="2062" max="2062" width="12.28515625" style="44" customWidth="1"/>
    <col min="2063" max="2063" width="13.85546875" style="44" customWidth="1"/>
    <col min="2064" max="2304" width="11.42578125" style="44"/>
    <col min="2305" max="2305" width="4" style="44" customWidth="1"/>
    <col min="2306" max="2306" width="7.5703125" style="44" customWidth="1"/>
    <col min="2307" max="2307" width="8.85546875" style="44" customWidth="1"/>
    <col min="2308" max="2308" width="8.28515625" style="44" customWidth="1"/>
    <col min="2309" max="2309" width="9.85546875" style="44" customWidth="1"/>
    <col min="2310" max="2310" width="9.140625" style="44" customWidth="1"/>
    <col min="2311" max="2313" width="8.5703125" style="44" customWidth="1"/>
    <col min="2314" max="2314" width="7.42578125" style="44" customWidth="1"/>
    <col min="2315" max="2315" width="7.85546875" style="44" customWidth="1"/>
    <col min="2316" max="2317" width="8.85546875" style="44" customWidth="1"/>
    <col min="2318" max="2318" width="12.28515625" style="44" customWidth="1"/>
    <col min="2319" max="2319" width="13.85546875" style="44" customWidth="1"/>
    <col min="2320" max="2560" width="11.42578125" style="44"/>
    <col min="2561" max="2561" width="4" style="44" customWidth="1"/>
    <col min="2562" max="2562" width="7.5703125" style="44" customWidth="1"/>
    <col min="2563" max="2563" width="8.85546875" style="44" customWidth="1"/>
    <col min="2564" max="2564" width="8.28515625" style="44" customWidth="1"/>
    <col min="2565" max="2565" width="9.85546875" style="44" customWidth="1"/>
    <col min="2566" max="2566" width="9.140625" style="44" customWidth="1"/>
    <col min="2567" max="2569" width="8.5703125" style="44" customWidth="1"/>
    <col min="2570" max="2570" width="7.42578125" style="44" customWidth="1"/>
    <col min="2571" max="2571" width="7.85546875" style="44" customWidth="1"/>
    <col min="2572" max="2573" width="8.85546875" style="44" customWidth="1"/>
    <col min="2574" max="2574" width="12.28515625" style="44" customWidth="1"/>
    <col min="2575" max="2575" width="13.85546875" style="44" customWidth="1"/>
    <col min="2576" max="2816" width="11.42578125" style="44"/>
    <col min="2817" max="2817" width="4" style="44" customWidth="1"/>
    <col min="2818" max="2818" width="7.5703125" style="44" customWidth="1"/>
    <col min="2819" max="2819" width="8.85546875" style="44" customWidth="1"/>
    <col min="2820" max="2820" width="8.28515625" style="44" customWidth="1"/>
    <col min="2821" max="2821" width="9.85546875" style="44" customWidth="1"/>
    <col min="2822" max="2822" width="9.140625" style="44" customWidth="1"/>
    <col min="2823" max="2825" width="8.5703125" style="44" customWidth="1"/>
    <col min="2826" max="2826" width="7.42578125" style="44" customWidth="1"/>
    <col min="2827" max="2827" width="7.85546875" style="44" customWidth="1"/>
    <col min="2828" max="2829" width="8.85546875" style="44" customWidth="1"/>
    <col min="2830" max="2830" width="12.28515625" style="44" customWidth="1"/>
    <col min="2831" max="2831" width="13.85546875" style="44" customWidth="1"/>
    <col min="2832" max="3072" width="11.42578125" style="44"/>
    <col min="3073" max="3073" width="4" style="44" customWidth="1"/>
    <col min="3074" max="3074" width="7.5703125" style="44" customWidth="1"/>
    <col min="3075" max="3075" width="8.85546875" style="44" customWidth="1"/>
    <col min="3076" max="3076" width="8.28515625" style="44" customWidth="1"/>
    <col min="3077" max="3077" width="9.85546875" style="44" customWidth="1"/>
    <col min="3078" max="3078" width="9.140625" style="44" customWidth="1"/>
    <col min="3079" max="3081" width="8.5703125" style="44" customWidth="1"/>
    <col min="3082" max="3082" width="7.42578125" style="44" customWidth="1"/>
    <col min="3083" max="3083" width="7.85546875" style="44" customWidth="1"/>
    <col min="3084" max="3085" width="8.85546875" style="44" customWidth="1"/>
    <col min="3086" max="3086" width="12.28515625" style="44" customWidth="1"/>
    <col min="3087" max="3087" width="13.85546875" style="44" customWidth="1"/>
    <col min="3088" max="3328" width="11.42578125" style="44"/>
    <col min="3329" max="3329" width="4" style="44" customWidth="1"/>
    <col min="3330" max="3330" width="7.5703125" style="44" customWidth="1"/>
    <col min="3331" max="3331" width="8.85546875" style="44" customWidth="1"/>
    <col min="3332" max="3332" width="8.28515625" style="44" customWidth="1"/>
    <col min="3333" max="3333" width="9.85546875" style="44" customWidth="1"/>
    <col min="3334" max="3334" width="9.140625" style="44" customWidth="1"/>
    <col min="3335" max="3337" width="8.5703125" style="44" customWidth="1"/>
    <col min="3338" max="3338" width="7.42578125" style="44" customWidth="1"/>
    <col min="3339" max="3339" width="7.85546875" style="44" customWidth="1"/>
    <col min="3340" max="3341" width="8.85546875" style="44" customWidth="1"/>
    <col min="3342" max="3342" width="12.28515625" style="44" customWidth="1"/>
    <col min="3343" max="3343" width="13.85546875" style="44" customWidth="1"/>
    <col min="3344" max="3584" width="11.42578125" style="44"/>
    <col min="3585" max="3585" width="4" style="44" customWidth="1"/>
    <col min="3586" max="3586" width="7.5703125" style="44" customWidth="1"/>
    <col min="3587" max="3587" width="8.85546875" style="44" customWidth="1"/>
    <col min="3588" max="3588" width="8.28515625" style="44" customWidth="1"/>
    <col min="3589" max="3589" width="9.85546875" style="44" customWidth="1"/>
    <col min="3590" max="3590" width="9.140625" style="44" customWidth="1"/>
    <col min="3591" max="3593" width="8.5703125" style="44" customWidth="1"/>
    <col min="3594" max="3594" width="7.42578125" style="44" customWidth="1"/>
    <col min="3595" max="3595" width="7.85546875" style="44" customWidth="1"/>
    <col min="3596" max="3597" width="8.85546875" style="44" customWidth="1"/>
    <col min="3598" max="3598" width="12.28515625" style="44" customWidth="1"/>
    <col min="3599" max="3599" width="13.85546875" style="44" customWidth="1"/>
    <col min="3600" max="3840" width="11.42578125" style="44"/>
    <col min="3841" max="3841" width="4" style="44" customWidth="1"/>
    <col min="3842" max="3842" width="7.5703125" style="44" customWidth="1"/>
    <col min="3843" max="3843" width="8.85546875" style="44" customWidth="1"/>
    <col min="3844" max="3844" width="8.28515625" style="44" customWidth="1"/>
    <col min="3845" max="3845" width="9.85546875" style="44" customWidth="1"/>
    <col min="3846" max="3846" width="9.140625" style="44" customWidth="1"/>
    <col min="3847" max="3849" width="8.5703125" style="44" customWidth="1"/>
    <col min="3850" max="3850" width="7.42578125" style="44" customWidth="1"/>
    <col min="3851" max="3851" width="7.85546875" style="44" customWidth="1"/>
    <col min="3852" max="3853" width="8.85546875" style="44" customWidth="1"/>
    <col min="3854" max="3854" width="12.28515625" style="44" customWidth="1"/>
    <col min="3855" max="3855" width="13.85546875" style="44" customWidth="1"/>
    <col min="3856" max="4096" width="11.42578125" style="44"/>
    <col min="4097" max="4097" width="4" style="44" customWidth="1"/>
    <col min="4098" max="4098" width="7.5703125" style="44" customWidth="1"/>
    <col min="4099" max="4099" width="8.85546875" style="44" customWidth="1"/>
    <col min="4100" max="4100" width="8.28515625" style="44" customWidth="1"/>
    <col min="4101" max="4101" width="9.85546875" style="44" customWidth="1"/>
    <col min="4102" max="4102" width="9.140625" style="44" customWidth="1"/>
    <col min="4103" max="4105" width="8.5703125" style="44" customWidth="1"/>
    <col min="4106" max="4106" width="7.42578125" style="44" customWidth="1"/>
    <col min="4107" max="4107" width="7.85546875" style="44" customWidth="1"/>
    <col min="4108" max="4109" width="8.85546875" style="44" customWidth="1"/>
    <col min="4110" max="4110" width="12.28515625" style="44" customWidth="1"/>
    <col min="4111" max="4111" width="13.85546875" style="44" customWidth="1"/>
    <col min="4112" max="4352" width="11.42578125" style="44"/>
    <col min="4353" max="4353" width="4" style="44" customWidth="1"/>
    <col min="4354" max="4354" width="7.5703125" style="44" customWidth="1"/>
    <col min="4355" max="4355" width="8.85546875" style="44" customWidth="1"/>
    <col min="4356" max="4356" width="8.28515625" style="44" customWidth="1"/>
    <col min="4357" max="4357" width="9.85546875" style="44" customWidth="1"/>
    <col min="4358" max="4358" width="9.140625" style="44" customWidth="1"/>
    <col min="4359" max="4361" width="8.5703125" style="44" customWidth="1"/>
    <col min="4362" max="4362" width="7.42578125" style="44" customWidth="1"/>
    <col min="4363" max="4363" width="7.85546875" style="44" customWidth="1"/>
    <col min="4364" max="4365" width="8.85546875" style="44" customWidth="1"/>
    <col min="4366" max="4366" width="12.28515625" style="44" customWidth="1"/>
    <col min="4367" max="4367" width="13.85546875" style="44" customWidth="1"/>
    <col min="4368" max="4608" width="11.42578125" style="44"/>
    <col min="4609" max="4609" width="4" style="44" customWidth="1"/>
    <col min="4610" max="4610" width="7.5703125" style="44" customWidth="1"/>
    <col min="4611" max="4611" width="8.85546875" style="44" customWidth="1"/>
    <col min="4612" max="4612" width="8.28515625" style="44" customWidth="1"/>
    <col min="4613" max="4613" width="9.85546875" style="44" customWidth="1"/>
    <col min="4614" max="4614" width="9.140625" style="44" customWidth="1"/>
    <col min="4615" max="4617" width="8.5703125" style="44" customWidth="1"/>
    <col min="4618" max="4618" width="7.42578125" style="44" customWidth="1"/>
    <col min="4619" max="4619" width="7.85546875" style="44" customWidth="1"/>
    <col min="4620" max="4621" width="8.85546875" style="44" customWidth="1"/>
    <col min="4622" max="4622" width="12.28515625" style="44" customWidth="1"/>
    <col min="4623" max="4623" width="13.85546875" style="44" customWidth="1"/>
    <col min="4624" max="4864" width="11.42578125" style="44"/>
    <col min="4865" max="4865" width="4" style="44" customWidth="1"/>
    <col min="4866" max="4866" width="7.5703125" style="44" customWidth="1"/>
    <col min="4867" max="4867" width="8.85546875" style="44" customWidth="1"/>
    <col min="4868" max="4868" width="8.28515625" style="44" customWidth="1"/>
    <col min="4869" max="4869" width="9.85546875" style="44" customWidth="1"/>
    <col min="4870" max="4870" width="9.140625" style="44" customWidth="1"/>
    <col min="4871" max="4873" width="8.5703125" style="44" customWidth="1"/>
    <col min="4874" max="4874" width="7.42578125" style="44" customWidth="1"/>
    <col min="4875" max="4875" width="7.85546875" style="44" customWidth="1"/>
    <col min="4876" max="4877" width="8.85546875" style="44" customWidth="1"/>
    <col min="4878" max="4878" width="12.28515625" style="44" customWidth="1"/>
    <col min="4879" max="4879" width="13.85546875" style="44" customWidth="1"/>
    <col min="4880" max="5120" width="11.42578125" style="44"/>
    <col min="5121" max="5121" width="4" style="44" customWidth="1"/>
    <col min="5122" max="5122" width="7.5703125" style="44" customWidth="1"/>
    <col min="5123" max="5123" width="8.85546875" style="44" customWidth="1"/>
    <col min="5124" max="5124" width="8.28515625" style="44" customWidth="1"/>
    <col min="5125" max="5125" width="9.85546875" style="44" customWidth="1"/>
    <col min="5126" max="5126" width="9.140625" style="44" customWidth="1"/>
    <col min="5127" max="5129" width="8.5703125" style="44" customWidth="1"/>
    <col min="5130" max="5130" width="7.42578125" style="44" customWidth="1"/>
    <col min="5131" max="5131" width="7.85546875" style="44" customWidth="1"/>
    <col min="5132" max="5133" width="8.85546875" style="44" customWidth="1"/>
    <col min="5134" max="5134" width="12.28515625" style="44" customWidth="1"/>
    <col min="5135" max="5135" width="13.85546875" style="44" customWidth="1"/>
    <col min="5136" max="5376" width="11.42578125" style="44"/>
    <col min="5377" max="5377" width="4" style="44" customWidth="1"/>
    <col min="5378" max="5378" width="7.5703125" style="44" customWidth="1"/>
    <col min="5379" max="5379" width="8.85546875" style="44" customWidth="1"/>
    <col min="5380" max="5380" width="8.28515625" style="44" customWidth="1"/>
    <col min="5381" max="5381" width="9.85546875" style="44" customWidth="1"/>
    <col min="5382" max="5382" width="9.140625" style="44" customWidth="1"/>
    <col min="5383" max="5385" width="8.5703125" style="44" customWidth="1"/>
    <col min="5386" max="5386" width="7.42578125" style="44" customWidth="1"/>
    <col min="5387" max="5387" width="7.85546875" style="44" customWidth="1"/>
    <col min="5388" max="5389" width="8.85546875" style="44" customWidth="1"/>
    <col min="5390" max="5390" width="12.28515625" style="44" customWidth="1"/>
    <col min="5391" max="5391" width="13.85546875" style="44" customWidth="1"/>
    <col min="5392" max="5632" width="11.42578125" style="44"/>
    <col min="5633" max="5633" width="4" style="44" customWidth="1"/>
    <col min="5634" max="5634" width="7.5703125" style="44" customWidth="1"/>
    <col min="5635" max="5635" width="8.85546875" style="44" customWidth="1"/>
    <col min="5636" max="5636" width="8.28515625" style="44" customWidth="1"/>
    <col min="5637" max="5637" width="9.85546875" style="44" customWidth="1"/>
    <col min="5638" max="5638" width="9.140625" style="44" customWidth="1"/>
    <col min="5639" max="5641" width="8.5703125" style="44" customWidth="1"/>
    <col min="5642" max="5642" width="7.42578125" style="44" customWidth="1"/>
    <col min="5643" max="5643" width="7.85546875" style="44" customWidth="1"/>
    <col min="5644" max="5645" width="8.85546875" style="44" customWidth="1"/>
    <col min="5646" max="5646" width="12.28515625" style="44" customWidth="1"/>
    <col min="5647" max="5647" width="13.85546875" style="44" customWidth="1"/>
    <col min="5648" max="5888" width="11.42578125" style="44"/>
    <col min="5889" max="5889" width="4" style="44" customWidth="1"/>
    <col min="5890" max="5890" width="7.5703125" style="44" customWidth="1"/>
    <col min="5891" max="5891" width="8.85546875" style="44" customWidth="1"/>
    <col min="5892" max="5892" width="8.28515625" style="44" customWidth="1"/>
    <col min="5893" max="5893" width="9.85546875" style="44" customWidth="1"/>
    <col min="5894" max="5894" width="9.140625" style="44" customWidth="1"/>
    <col min="5895" max="5897" width="8.5703125" style="44" customWidth="1"/>
    <col min="5898" max="5898" width="7.42578125" style="44" customWidth="1"/>
    <col min="5899" max="5899" width="7.85546875" style="44" customWidth="1"/>
    <col min="5900" max="5901" width="8.85546875" style="44" customWidth="1"/>
    <col min="5902" max="5902" width="12.28515625" style="44" customWidth="1"/>
    <col min="5903" max="5903" width="13.85546875" style="44" customWidth="1"/>
    <col min="5904" max="6144" width="11.42578125" style="44"/>
    <col min="6145" max="6145" width="4" style="44" customWidth="1"/>
    <col min="6146" max="6146" width="7.5703125" style="44" customWidth="1"/>
    <col min="6147" max="6147" width="8.85546875" style="44" customWidth="1"/>
    <col min="6148" max="6148" width="8.28515625" style="44" customWidth="1"/>
    <col min="6149" max="6149" width="9.85546875" style="44" customWidth="1"/>
    <col min="6150" max="6150" width="9.140625" style="44" customWidth="1"/>
    <col min="6151" max="6153" width="8.5703125" style="44" customWidth="1"/>
    <col min="6154" max="6154" width="7.42578125" style="44" customWidth="1"/>
    <col min="6155" max="6155" width="7.85546875" style="44" customWidth="1"/>
    <col min="6156" max="6157" width="8.85546875" style="44" customWidth="1"/>
    <col min="6158" max="6158" width="12.28515625" style="44" customWidth="1"/>
    <col min="6159" max="6159" width="13.85546875" style="44" customWidth="1"/>
    <col min="6160" max="6400" width="11.42578125" style="44"/>
    <col min="6401" max="6401" width="4" style="44" customWidth="1"/>
    <col min="6402" max="6402" width="7.5703125" style="44" customWidth="1"/>
    <col min="6403" max="6403" width="8.85546875" style="44" customWidth="1"/>
    <col min="6404" max="6404" width="8.28515625" style="44" customWidth="1"/>
    <col min="6405" max="6405" width="9.85546875" style="44" customWidth="1"/>
    <col min="6406" max="6406" width="9.140625" style="44" customWidth="1"/>
    <col min="6407" max="6409" width="8.5703125" style="44" customWidth="1"/>
    <col min="6410" max="6410" width="7.42578125" style="44" customWidth="1"/>
    <col min="6411" max="6411" width="7.85546875" style="44" customWidth="1"/>
    <col min="6412" max="6413" width="8.85546875" style="44" customWidth="1"/>
    <col min="6414" max="6414" width="12.28515625" style="44" customWidth="1"/>
    <col min="6415" max="6415" width="13.85546875" style="44" customWidth="1"/>
    <col min="6416" max="6656" width="11.42578125" style="44"/>
    <col min="6657" max="6657" width="4" style="44" customWidth="1"/>
    <col min="6658" max="6658" width="7.5703125" style="44" customWidth="1"/>
    <col min="6659" max="6659" width="8.85546875" style="44" customWidth="1"/>
    <col min="6660" max="6660" width="8.28515625" style="44" customWidth="1"/>
    <col min="6661" max="6661" width="9.85546875" style="44" customWidth="1"/>
    <col min="6662" max="6662" width="9.140625" style="44" customWidth="1"/>
    <col min="6663" max="6665" width="8.5703125" style="44" customWidth="1"/>
    <col min="6666" max="6666" width="7.42578125" style="44" customWidth="1"/>
    <col min="6667" max="6667" width="7.85546875" style="44" customWidth="1"/>
    <col min="6668" max="6669" width="8.85546875" style="44" customWidth="1"/>
    <col min="6670" max="6670" width="12.28515625" style="44" customWidth="1"/>
    <col min="6671" max="6671" width="13.85546875" style="44" customWidth="1"/>
    <col min="6672" max="6912" width="11.42578125" style="44"/>
    <col min="6913" max="6913" width="4" style="44" customWidth="1"/>
    <col min="6914" max="6914" width="7.5703125" style="44" customWidth="1"/>
    <col min="6915" max="6915" width="8.85546875" style="44" customWidth="1"/>
    <col min="6916" max="6916" width="8.28515625" style="44" customWidth="1"/>
    <col min="6917" max="6917" width="9.85546875" style="44" customWidth="1"/>
    <col min="6918" max="6918" width="9.140625" style="44" customWidth="1"/>
    <col min="6919" max="6921" width="8.5703125" style="44" customWidth="1"/>
    <col min="6922" max="6922" width="7.42578125" style="44" customWidth="1"/>
    <col min="6923" max="6923" width="7.85546875" style="44" customWidth="1"/>
    <col min="6924" max="6925" width="8.85546875" style="44" customWidth="1"/>
    <col min="6926" max="6926" width="12.28515625" style="44" customWidth="1"/>
    <col min="6927" max="6927" width="13.85546875" style="44" customWidth="1"/>
    <col min="6928" max="7168" width="11.42578125" style="44"/>
    <col min="7169" max="7169" width="4" style="44" customWidth="1"/>
    <col min="7170" max="7170" width="7.5703125" style="44" customWidth="1"/>
    <col min="7171" max="7171" width="8.85546875" style="44" customWidth="1"/>
    <col min="7172" max="7172" width="8.28515625" style="44" customWidth="1"/>
    <col min="7173" max="7173" width="9.85546875" style="44" customWidth="1"/>
    <col min="7174" max="7174" width="9.140625" style="44" customWidth="1"/>
    <col min="7175" max="7177" width="8.5703125" style="44" customWidth="1"/>
    <col min="7178" max="7178" width="7.42578125" style="44" customWidth="1"/>
    <col min="7179" max="7179" width="7.85546875" style="44" customWidth="1"/>
    <col min="7180" max="7181" width="8.85546875" style="44" customWidth="1"/>
    <col min="7182" max="7182" width="12.28515625" style="44" customWidth="1"/>
    <col min="7183" max="7183" width="13.85546875" style="44" customWidth="1"/>
    <col min="7184" max="7424" width="11.42578125" style="44"/>
    <col min="7425" max="7425" width="4" style="44" customWidth="1"/>
    <col min="7426" max="7426" width="7.5703125" style="44" customWidth="1"/>
    <col min="7427" max="7427" width="8.85546875" style="44" customWidth="1"/>
    <col min="7428" max="7428" width="8.28515625" style="44" customWidth="1"/>
    <col min="7429" max="7429" width="9.85546875" style="44" customWidth="1"/>
    <col min="7430" max="7430" width="9.140625" style="44" customWidth="1"/>
    <col min="7431" max="7433" width="8.5703125" style="44" customWidth="1"/>
    <col min="7434" max="7434" width="7.42578125" style="44" customWidth="1"/>
    <col min="7435" max="7435" width="7.85546875" style="44" customWidth="1"/>
    <col min="7436" max="7437" width="8.85546875" style="44" customWidth="1"/>
    <col min="7438" max="7438" width="12.28515625" style="44" customWidth="1"/>
    <col min="7439" max="7439" width="13.85546875" style="44" customWidth="1"/>
    <col min="7440" max="7680" width="11.42578125" style="44"/>
    <col min="7681" max="7681" width="4" style="44" customWidth="1"/>
    <col min="7682" max="7682" width="7.5703125" style="44" customWidth="1"/>
    <col min="7683" max="7683" width="8.85546875" style="44" customWidth="1"/>
    <col min="7684" max="7684" width="8.28515625" style="44" customWidth="1"/>
    <col min="7685" max="7685" width="9.85546875" style="44" customWidth="1"/>
    <col min="7686" max="7686" width="9.140625" style="44" customWidth="1"/>
    <col min="7687" max="7689" width="8.5703125" style="44" customWidth="1"/>
    <col min="7690" max="7690" width="7.42578125" style="44" customWidth="1"/>
    <col min="7691" max="7691" width="7.85546875" style="44" customWidth="1"/>
    <col min="7692" max="7693" width="8.85546875" style="44" customWidth="1"/>
    <col min="7694" max="7694" width="12.28515625" style="44" customWidth="1"/>
    <col min="7695" max="7695" width="13.85546875" style="44" customWidth="1"/>
    <col min="7696" max="7936" width="11.42578125" style="44"/>
    <col min="7937" max="7937" width="4" style="44" customWidth="1"/>
    <col min="7938" max="7938" width="7.5703125" style="44" customWidth="1"/>
    <col min="7939" max="7939" width="8.85546875" style="44" customWidth="1"/>
    <col min="7940" max="7940" width="8.28515625" style="44" customWidth="1"/>
    <col min="7941" max="7941" width="9.85546875" style="44" customWidth="1"/>
    <col min="7942" max="7942" width="9.140625" style="44" customWidth="1"/>
    <col min="7943" max="7945" width="8.5703125" style="44" customWidth="1"/>
    <col min="7946" max="7946" width="7.42578125" style="44" customWidth="1"/>
    <col min="7947" max="7947" width="7.85546875" style="44" customWidth="1"/>
    <col min="7948" max="7949" width="8.85546875" style="44" customWidth="1"/>
    <col min="7950" max="7950" width="12.28515625" style="44" customWidth="1"/>
    <col min="7951" max="7951" width="13.85546875" style="44" customWidth="1"/>
    <col min="7952" max="8192" width="11.42578125" style="44"/>
    <col min="8193" max="8193" width="4" style="44" customWidth="1"/>
    <col min="8194" max="8194" width="7.5703125" style="44" customWidth="1"/>
    <col min="8195" max="8195" width="8.85546875" style="44" customWidth="1"/>
    <col min="8196" max="8196" width="8.28515625" style="44" customWidth="1"/>
    <col min="8197" max="8197" width="9.85546875" style="44" customWidth="1"/>
    <col min="8198" max="8198" width="9.140625" style="44" customWidth="1"/>
    <col min="8199" max="8201" width="8.5703125" style="44" customWidth="1"/>
    <col min="8202" max="8202" width="7.42578125" style="44" customWidth="1"/>
    <col min="8203" max="8203" width="7.85546875" style="44" customWidth="1"/>
    <col min="8204" max="8205" width="8.85546875" style="44" customWidth="1"/>
    <col min="8206" max="8206" width="12.28515625" style="44" customWidth="1"/>
    <col min="8207" max="8207" width="13.85546875" style="44" customWidth="1"/>
    <col min="8208" max="8448" width="11.42578125" style="44"/>
    <col min="8449" max="8449" width="4" style="44" customWidth="1"/>
    <col min="8450" max="8450" width="7.5703125" style="44" customWidth="1"/>
    <col min="8451" max="8451" width="8.85546875" style="44" customWidth="1"/>
    <col min="8452" max="8452" width="8.28515625" style="44" customWidth="1"/>
    <col min="8453" max="8453" width="9.85546875" style="44" customWidth="1"/>
    <col min="8454" max="8454" width="9.140625" style="44" customWidth="1"/>
    <col min="8455" max="8457" width="8.5703125" style="44" customWidth="1"/>
    <col min="8458" max="8458" width="7.42578125" style="44" customWidth="1"/>
    <col min="8459" max="8459" width="7.85546875" style="44" customWidth="1"/>
    <col min="8460" max="8461" width="8.85546875" style="44" customWidth="1"/>
    <col min="8462" max="8462" width="12.28515625" style="44" customWidth="1"/>
    <col min="8463" max="8463" width="13.85546875" style="44" customWidth="1"/>
    <col min="8464" max="8704" width="11.42578125" style="44"/>
    <col min="8705" max="8705" width="4" style="44" customWidth="1"/>
    <col min="8706" max="8706" width="7.5703125" style="44" customWidth="1"/>
    <col min="8707" max="8707" width="8.85546875" style="44" customWidth="1"/>
    <col min="8708" max="8708" width="8.28515625" style="44" customWidth="1"/>
    <col min="8709" max="8709" width="9.85546875" style="44" customWidth="1"/>
    <col min="8710" max="8710" width="9.140625" style="44" customWidth="1"/>
    <col min="8711" max="8713" width="8.5703125" style="44" customWidth="1"/>
    <col min="8714" max="8714" width="7.42578125" style="44" customWidth="1"/>
    <col min="8715" max="8715" width="7.85546875" style="44" customWidth="1"/>
    <col min="8716" max="8717" width="8.85546875" style="44" customWidth="1"/>
    <col min="8718" max="8718" width="12.28515625" style="44" customWidth="1"/>
    <col min="8719" max="8719" width="13.85546875" style="44" customWidth="1"/>
    <col min="8720" max="8960" width="11.42578125" style="44"/>
    <col min="8961" max="8961" width="4" style="44" customWidth="1"/>
    <col min="8962" max="8962" width="7.5703125" style="44" customWidth="1"/>
    <col min="8963" max="8963" width="8.85546875" style="44" customWidth="1"/>
    <col min="8964" max="8964" width="8.28515625" style="44" customWidth="1"/>
    <col min="8965" max="8965" width="9.85546875" style="44" customWidth="1"/>
    <col min="8966" max="8966" width="9.140625" style="44" customWidth="1"/>
    <col min="8967" max="8969" width="8.5703125" style="44" customWidth="1"/>
    <col min="8970" max="8970" width="7.42578125" style="44" customWidth="1"/>
    <col min="8971" max="8971" width="7.85546875" style="44" customWidth="1"/>
    <col min="8972" max="8973" width="8.85546875" style="44" customWidth="1"/>
    <col min="8974" max="8974" width="12.28515625" style="44" customWidth="1"/>
    <col min="8975" max="8975" width="13.85546875" style="44" customWidth="1"/>
    <col min="8976" max="9216" width="11.42578125" style="44"/>
    <col min="9217" max="9217" width="4" style="44" customWidth="1"/>
    <col min="9218" max="9218" width="7.5703125" style="44" customWidth="1"/>
    <col min="9219" max="9219" width="8.85546875" style="44" customWidth="1"/>
    <col min="9220" max="9220" width="8.28515625" style="44" customWidth="1"/>
    <col min="9221" max="9221" width="9.85546875" style="44" customWidth="1"/>
    <col min="9222" max="9222" width="9.140625" style="44" customWidth="1"/>
    <col min="9223" max="9225" width="8.5703125" style="44" customWidth="1"/>
    <col min="9226" max="9226" width="7.42578125" style="44" customWidth="1"/>
    <col min="9227" max="9227" width="7.85546875" style="44" customWidth="1"/>
    <col min="9228" max="9229" width="8.85546875" style="44" customWidth="1"/>
    <col min="9230" max="9230" width="12.28515625" style="44" customWidth="1"/>
    <col min="9231" max="9231" width="13.85546875" style="44" customWidth="1"/>
    <col min="9232" max="9472" width="11.42578125" style="44"/>
    <col min="9473" max="9473" width="4" style="44" customWidth="1"/>
    <col min="9474" max="9474" width="7.5703125" style="44" customWidth="1"/>
    <col min="9475" max="9475" width="8.85546875" style="44" customWidth="1"/>
    <col min="9476" max="9476" width="8.28515625" style="44" customWidth="1"/>
    <col min="9477" max="9477" width="9.85546875" style="44" customWidth="1"/>
    <col min="9478" max="9478" width="9.140625" style="44" customWidth="1"/>
    <col min="9479" max="9481" width="8.5703125" style="44" customWidth="1"/>
    <col min="9482" max="9482" width="7.42578125" style="44" customWidth="1"/>
    <col min="9483" max="9483" width="7.85546875" style="44" customWidth="1"/>
    <col min="9484" max="9485" width="8.85546875" style="44" customWidth="1"/>
    <col min="9486" max="9486" width="12.28515625" style="44" customWidth="1"/>
    <col min="9487" max="9487" width="13.85546875" style="44" customWidth="1"/>
    <col min="9488" max="9728" width="11.42578125" style="44"/>
    <col min="9729" max="9729" width="4" style="44" customWidth="1"/>
    <col min="9730" max="9730" width="7.5703125" style="44" customWidth="1"/>
    <col min="9731" max="9731" width="8.85546875" style="44" customWidth="1"/>
    <col min="9732" max="9732" width="8.28515625" style="44" customWidth="1"/>
    <col min="9733" max="9733" width="9.85546875" style="44" customWidth="1"/>
    <col min="9734" max="9734" width="9.140625" style="44" customWidth="1"/>
    <col min="9735" max="9737" width="8.5703125" style="44" customWidth="1"/>
    <col min="9738" max="9738" width="7.42578125" style="44" customWidth="1"/>
    <col min="9739" max="9739" width="7.85546875" style="44" customWidth="1"/>
    <col min="9740" max="9741" width="8.85546875" style="44" customWidth="1"/>
    <col min="9742" max="9742" width="12.28515625" style="44" customWidth="1"/>
    <col min="9743" max="9743" width="13.85546875" style="44" customWidth="1"/>
    <col min="9744" max="9984" width="11.42578125" style="44"/>
    <col min="9985" max="9985" width="4" style="44" customWidth="1"/>
    <col min="9986" max="9986" width="7.5703125" style="44" customWidth="1"/>
    <col min="9987" max="9987" width="8.85546875" style="44" customWidth="1"/>
    <col min="9988" max="9988" width="8.28515625" style="44" customWidth="1"/>
    <col min="9989" max="9989" width="9.85546875" style="44" customWidth="1"/>
    <col min="9990" max="9990" width="9.140625" style="44" customWidth="1"/>
    <col min="9991" max="9993" width="8.5703125" style="44" customWidth="1"/>
    <col min="9994" max="9994" width="7.42578125" style="44" customWidth="1"/>
    <col min="9995" max="9995" width="7.85546875" style="44" customWidth="1"/>
    <col min="9996" max="9997" width="8.85546875" style="44" customWidth="1"/>
    <col min="9998" max="9998" width="12.28515625" style="44" customWidth="1"/>
    <col min="9999" max="9999" width="13.85546875" style="44" customWidth="1"/>
    <col min="10000" max="10240" width="11.42578125" style="44"/>
    <col min="10241" max="10241" width="4" style="44" customWidth="1"/>
    <col min="10242" max="10242" width="7.5703125" style="44" customWidth="1"/>
    <col min="10243" max="10243" width="8.85546875" style="44" customWidth="1"/>
    <col min="10244" max="10244" width="8.28515625" style="44" customWidth="1"/>
    <col min="10245" max="10245" width="9.85546875" style="44" customWidth="1"/>
    <col min="10246" max="10246" width="9.140625" style="44" customWidth="1"/>
    <col min="10247" max="10249" width="8.5703125" style="44" customWidth="1"/>
    <col min="10250" max="10250" width="7.42578125" style="44" customWidth="1"/>
    <col min="10251" max="10251" width="7.85546875" style="44" customWidth="1"/>
    <col min="10252" max="10253" width="8.85546875" style="44" customWidth="1"/>
    <col min="10254" max="10254" width="12.28515625" style="44" customWidth="1"/>
    <col min="10255" max="10255" width="13.85546875" style="44" customWidth="1"/>
    <col min="10256" max="10496" width="11.42578125" style="44"/>
    <col min="10497" max="10497" width="4" style="44" customWidth="1"/>
    <col min="10498" max="10498" width="7.5703125" style="44" customWidth="1"/>
    <col min="10499" max="10499" width="8.85546875" style="44" customWidth="1"/>
    <col min="10500" max="10500" width="8.28515625" style="44" customWidth="1"/>
    <col min="10501" max="10501" width="9.85546875" style="44" customWidth="1"/>
    <col min="10502" max="10502" width="9.140625" style="44" customWidth="1"/>
    <col min="10503" max="10505" width="8.5703125" style="44" customWidth="1"/>
    <col min="10506" max="10506" width="7.42578125" style="44" customWidth="1"/>
    <col min="10507" max="10507" width="7.85546875" style="44" customWidth="1"/>
    <col min="10508" max="10509" width="8.85546875" style="44" customWidth="1"/>
    <col min="10510" max="10510" width="12.28515625" style="44" customWidth="1"/>
    <col min="10511" max="10511" width="13.85546875" style="44" customWidth="1"/>
    <col min="10512" max="10752" width="11.42578125" style="44"/>
    <col min="10753" max="10753" width="4" style="44" customWidth="1"/>
    <col min="10754" max="10754" width="7.5703125" style="44" customWidth="1"/>
    <col min="10755" max="10755" width="8.85546875" style="44" customWidth="1"/>
    <col min="10756" max="10756" width="8.28515625" style="44" customWidth="1"/>
    <col min="10757" max="10757" width="9.85546875" style="44" customWidth="1"/>
    <col min="10758" max="10758" width="9.140625" style="44" customWidth="1"/>
    <col min="10759" max="10761" width="8.5703125" style="44" customWidth="1"/>
    <col min="10762" max="10762" width="7.42578125" style="44" customWidth="1"/>
    <col min="10763" max="10763" width="7.85546875" style="44" customWidth="1"/>
    <col min="10764" max="10765" width="8.85546875" style="44" customWidth="1"/>
    <col min="10766" max="10766" width="12.28515625" style="44" customWidth="1"/>
    <col min="10767" max="10767" width="13.85546875" style="44" customWidth="1"/>
    <col min="10768" max="11008" width="11.42578125" style="44"/>
    <col min="11009" max="11009" width="4" style="44" customWidth="1"/>
    <col min="11010" max="11010" width="7.5703125" style="44" customWidth="1"/>
    <col min="11011" max="11011" width="8.85546875" style="44" customWidth="1"/>
    <col min="11012" max="11012" width="8.28515625" style="44" customWidth="1"/>
    <col min="11013" max="11013" width="9.85546875" style="44" customWidth="1"/>
    <col min="11014" max="11014" width="9.140625" style="44" customWidth="1"/>
    <col min="11015" max="11017" width="8.5703125" style="44" customWidth="1"/>
    <col min="11018" max="11018" width="7.42578125" style="44" customWidth="1"/>
    <col min="11019" max="11019" width="7.85546875" style="44" customWidth="1"/>
    <col min="11020" max="11021" width="8.85546875" style="44" customWidth="1"/>
    <col min="11022" max="11022" width="12.28515625" style="44" customWidth="1"/>
    <col min="11023" max="11023" width="13.85546875" style="44" customWidth="1"/>
    <col min="11024" max="11264" width="11.42578125" style="44"/>
    <col min="11265" max="11265" width="4" style="44" customWidth="1"/>
    <col min="11266" max="11266" width="7.5703125" style="44" customWidth="1"/>
    <col min="11267" max="11267" width="8.85546875" style="44" customWidth="1"/>
    <col min="11268" max="11268" width="8.28515625" style="44" customWidth="1"/>
    <col min="11269" max="11269" width="9.85546875" style="44" customWidth="1"/>
    <col min="11270" max="11270" width="9.140625" style="44" customWidth="1"/>
    <col min="11271" max="11273" width="8.5703125" style="44" customWidth="1"/>
    <col min="11274" max="11274" width="7.42578125" style="44" customWidth="1"/>
    <col min="11275" max="11275" width="7.85546875" style="44" customWidth="1"/>
    <col min="11276" max="11277" width="8.85546875" style="44" customWidth="1"/>
    <col min="11278" max="11278" width="12.28515625" style="44" customWidth="1"/>
    <col min="11279" max="11279" width="13.85546875" style="44" customWidth="1"/>
    <col min="11280" max="11520" width="11.42578125" style="44"/>
    <col min="11521" max="11521" width="4" style="44" customWidth="1"/>
    <col min="11522" max="11522" width="7.5703125" style="44" customWidth="1"/>
    <col min="11523" max="11523" width="8.85546875" style="44" customWidth="1"/>
    <col min="11524" max="11524" width="8.28515625" style="44" customWidth="1"/>
    <col min="11525" max="11525" width="9.85546875" style="44" customWidth="1"/>
    <col min="11526" max="11526" width="9.140625" style="44" customWidth="1"/>
    <col min="11527" max="11529" width="8.5703125" style="44" customWidth="1"/>
    <col min="11530" max="11530" width="7.42578125" style="44" customWidth="1"/>
    <col min="11531" max="11531" width="7.85546875" style="44" customWidth="1"/>
    <col min="11532" max="11533" width="8.85546875" style="44" customWidth="1"/>
    <col min="11534" max="11534" width="12.28515625" style="44" customWidth="1"/>
    <col min="11535" max="11535" width="13.85546875" style="44" customWidth="1"/>
    <col min="11536" max="11776" width="11.42578125" style="44"/>
    <col min="11777" max="11777" width="4" style="44" customWidth="1"/>
    <col min="11778" max="11778" width="7.5703125" style="44" customWidth="1"/>
    <col min="11779" max="11779" width="8.85546875" style="44" customWidth="1"/>
    <col min="11780" max="11780" width="8.28515625" style="44" customWidth="1"/>
    <col min="11781" max="11781" width="9.85546875" style="44" customWidth="1"/>
    <col min="11782" max="11782" width="9.140625" style="44" customWidth="1"/>
    <col min="11783" max="11785" width="8.5703125" style="44" customWidth="1"/>
    <col min="11786" max="11786" width="7.42578125" style="44" customWidth="1"/>
    <col min="11787" max="11787" width="7.85546875" style="44" customWidth="1"/>
    <col min="11788" max="11789" width="8.85546875" style="44" customWidth="1"/>
    <col min="11790" max="11790" width="12.28515625" style="44" customWidth="1"/>
    <col min="11791" max="11791" width="13.85546875" style="44" customWidth="1"/>
    <col min="11792" max="12032" width="11.42578125" style="44"/>
    <col min="12033" max="12033" width="4" style="44" customWidth="1"/>
    <col min="12034" max="12034" width="7.5703125" style="44" customWidth="1"/>
    <col min="12035" max="12035" width="8.85546875" style="44" customWidth="1"/>
    <col min="12036" max="12036" width="8.28515625" style="44" customWidth="1"/>
    <col min="12037" max="12037" width="9.85546875" style="44" customWidth="1"/>
    <col min="12038" max="12038" width="9.140625" style="44" customWidth="1"/>
    <col min="12039" max="12041" width="8.5703125" style="44" customWidth="1"/>
    <col min="12042" max="12042" width="7.42578125" style="44" customWidth="1"/>
    <col min="12043" max="12043" width="7.85546875" style="44" customWidth="1"/>
    <col min="12044" max="12045" width="8.85546875" style="44" customWidth="1"/>
    <col min="12046" max="12046" width="12.28515625" style="44" customWidth="1"/>
    <col min="12047" max="12047" width="13.85546875" style="44" customWidth="1"/>
    <col min="12048" max="12288" width="11.42578125" style="44"/>
    <col min="12289" max="12289" width="4" style="44" customWidth="1"/>
    <col min="12290" max="12290" width="7.5703125" style="44" customWidth="1"/>
    <col min="12291" max="12291" width="8.85546875" style="44" customWidth="1"/>
    <col min="12292" max="12292" width="8.28515625" style="44" customWidth="1"/>
    <col min="12293" max="12293" width="9.85546875" style="44" customWidth="1"/>
    <col min="12294" max="12294" width="9.140625" style="44" customWidth="1"/>
    <col min="12295" max="12297" width="8.5703125" style="44" customWidth="1"/>
    <col min="12298" max="12298" width="7.42578125" style="44" customWidth="1"/>
    <col min="12299" max="12299" width="7.85546875" style="44" customWidth="1"/>
    <col min="12300" max="12301" width="8.85546875" style="44" customWidth="1"/>
    <col min="12302" max="12302" width="12.28515625" style="44" customWidth="1"/>
    <col min="12303" max="12303" width="13.85546875" style="44" customWidth="1"/>
    <col min="12304" max="12544" width="11.42578125" style="44"/>
    <col min="12545" max="12545" width="4" style="44" customWidth="1"/>
    <col min="12546" max="12546" width="7.5703125" style="44" customWidth="1"/>
    <col min="12547" max="12547" width="8.85546875" style="44" customWidth="1"/>
    <col min="12548" max="12548" width="8.28515625" style="44" customWidth="1"/>
    <col min="12549" max="12549" width="9.85546875" style="44" customWidth="1"/>
    <col min="12550" max="12550" width="9.140625" style="44" customWidth="1"/>
    <col min="12551" max="12553" width="8.5703125" style="44" customWidth="1"/>
    <col min="12554" max="12554" width="7.42578125" style="44" customWidth="1"/>
    <col min="12555" max="12555" width="7.85546875" style="44" customWidth="1"/>
    <col min="12556" max="12557" width="8.85546875" style="44" customWidth="1"/>
    <col min="12558" max="12558" width="12.28515625" style="44" customWidth="1"/>
    <col min="12559" max="12559" width="13.85546875" style="44" customWidth="1"/>
    <col min="12560" max="12800" width="11.42578125" style="44"/>
    <col min="12801" max="12801" width="4" style="44" customWidth="1"/>
    <col min="12802" max="12802" width="7.5703125" style="44" customWidth="1"/>
    <col min="12803" max="12803" width="8.85546875" style="44" customWidth="1"/>
    <col min="12804" max="12804" width="8.28515625" style="44" customWidth="1"/>
    <col min="12805" max="12805" width="9.85546875" style="44" customWidth="1"/>
    <col min="12806" max="12806" width="9.140625" style="44" customWidth="1"/>
    <col min="12807" max="12809" width="8.5703125" style="44" customWidth="1"/>
    <col min="12810" max="12810" width="7.42578125" style="44" customWidth="1"/>
    <col min="12811" max="12811" width="7.85546875" style="44" customWidth="1"/>
    <col min="12812" max="12813" width="8.85546875" style="44" customWidth="1"/>
    <col min="12814" max="12814" width="12.28515625" style="44" customWidth="1"/>
    <col min="12815" max="12815" width="13.85546875" style="44" customWidth="1"/>
    <col min="12816" max="13056" width="11.42578125" style="44"/>
    <col min="13057" max="13057" width="4" style="44" customWidth="1"/>
    <col min="13058" max="13058" width="7.5703125" style="44" customWidth="1"/>
    <col min="13059" max="13059" width="8.85546875" style="44" customWidth="1"/>
    <col min="13060" max="13060" width="8.28515625" style="44" customWidth="1"/>
    <col min="13061" max="13061" width="9.85546875" style="44" customWidth="1"/>
    <col min="13062" max="13062" width="9.140625" style="44" customWidth="1"/>
    <col min="13063" max="13065" width="8.5703125" style="44" customWidth="1"/>
    <col min="13066" max="13066" width="7.42578125" style="44" customWidth="1"/>
    <col min="13067" max="13067" width="7.85546875" style="44" customWidth="1"/>
    <col min="13068" max="13069" width="8.85546875" style="44" customWidth="1"/>
    <col min="13070" max="13070" width="12.28515625" style="44" customWidth="1"/>
    <col min="13071" max="13071" width="13.85546875" style="44" customWidth="1"/>
    <col min="13072" max="13312" width="11.42578125" style="44"/>
    <col min="13313" max="13313" width="4" style="44" customWidth="1"/>
    <col min="13314" max="13314" width="7.5703125" style="44" customWidth="1"/>
    <col min="13315" max="13315" width="8.85546875" style="44" customWidth="1"/>
    <col min="13316" max="13316" width="8.28515625" style="44" customWidth="1"/>
    <col min="13317" max="13317" width="9.85546875" style="44" customWidth="1"/>
    <col min="13318" max="13318" width="9.140625" style="44" customWidth="1"/>
    <col min="13319" max="13321" width="8.5703125" style="44" customWidth="1"/>
    <col min="13322" max="13322" width="7.42578125" style="44" customWidth="1"/>
    <col min="13323" max="13323" width="7.85546875" style="44" customWidth="1"/>
    <col min="13324" max="13325" width="8.85546875" style="44" customWidth="1"/>
    <col min="13326" max="13326" width="12.28515625" style="44" customWidth="1"/>
    <col min="13327" max="13327" width="13.85546875" style="44" customWidth="1"/>
    <col min="13328" max="13568" width="11.42578125" style="44"/>
    <col min="13569" max="13569" width="4" style="44" customWidth="1"/>
    <col min="13570" max="13570" width="7.5703125" style="44" customWidth="1"/>
    <col min="13571" max="13571" width="8.85546875" style="44" customWidth="1"/>
    <col min="13572" max="13572" width="8.28515625" style="44" customWidth="1"/>
    <col min="13573" max="13573" width="9.85546875" style="44" customWidth="1"/>
    <col min="13574" max="13574" width="9.140625" style="44" customWidth="1"/>
    <col min="13575" max="13577" width="8.5703125" style="44" customWidth="1"/>
    <col min="13578" max="13578" width="7.42578125" style="44" customWidth="1"/>
    <col min="13579" max="13579" width="7.85546875" style="44" customWidth="1"/>
    <col min="13580" max="13581" width="8.85546875" style="44" customWidth="1"/>
    <col min="13582" max="13582" width="12.28515625" style="44" customWidth="1"/>
    <col min="13583" max="13583" width="13.85546875" style="44" customWidth="1"/>
    <col min="13584" max="13824" width="11.42578125" style="44"/>
    <col min="13825" max="13825" width="4" style="44" customWidth="1"/>
    <col min="13826" max="13826" width="7.5703125" style="44" customWidth="1"/>
    <col min="13827" max="13827" width="8.85546875" style="44" customWidth="1"/>
    <col min="13828" max="13828" width="8.28515625" style="44" customWidth="1"/>
    <col min="13829" max="13829" width="9.85546875" style="44" customWidth="1"/>
    <col min="13830" max="13830" width="9.140625" style="44" customWidth="1"/>
    <col min="13831" max="13833" width="8.5703125" style="44" customWidth="1"/>
    <col min="13834" max="13834" width="7.42578125" style="44" customWidth="1"/>
    <col min="13835" max="13835" width="7.85546875" style="44" customWidth="1"/>
    <col min="13836" max="13837" width="8.85546875" style="44" customWidth="1"/>
    <col min="13838" max="13838" width="12.28515625" style="44" customWidth="1"/>
    <col min="13839" max="13839" width="13.85546875" style="44" customWidth="1"/>
    <col min="13840" max="14080" width="11.42578125" style="44"/>
    <col min="14081" max="14081" width="4" style="44" customWidth="1"/>
    <col min="14082" max="14082" width="7.5703125" style="44" customWidth="1"/>
    <col min="14083" max="14083" width="8.85546875" style="44" customWidth="1"/>
    <col min="14084" max="14084" width="8.28515625" style="44" customWidth="1"/>
    <col min="14085" max="14085" width="9.85546875" style="44" customWidth="1"/>
    <col min="14086" max="14086" width="9.140625" style="44" customWidth="1"/>
    <col min="14087" max="14089" width="8.5703125" style="44" customWidth="1"/>
    <col min="14090" max="14090" width="7.42578125" style="44" customWidth="1"/>
    <col min="14091" max="14091" width="7.85546875" style="44" customWidth="1"/>
    <col min="14092" max="14093" width="8.85546875" style="44" customWidth="1"/>
    <col min="14094" max="14094" width="12.28515625" style="44" customWidth="1"/>
    <col min="14095" max="14095" width="13.85546875" style="44" customWidth="1"/>
    <col min="14096" max="14336" width="11.42578125" style="44"/>
    <col min="14337" max="14337" width="4" style="44" customWidth="1"/>
    <col min="14338" max="14338" width="7.5703125" style="44" customWidth="1"/>
    <col min="14339" max="14339" width="8.85546875" style="44" customWidth="1"/>
    <col min="14340" max="14340" width="8.28515625" style="44" customWidth="1"/>
    <col min="14341" max="14341" width="9.85546875" style="44" customWidth="1"/>
    <col min="14342" max="14342" width="9.140625" style="44" customWidth="1"/>
    <col min="14343" max="14345" width="8.5703125" style="44" customWidth="1"/>
    <col min="14346" max="14346" width="7.42578125" style="44" customWidth="1"/>
    <col min="14347" max="14347" width="7.85546875" style="44" customWidth="1"/>
    <col min="14348" max="14349" width="8.85546875" style="44" customWidth="1"/>
    <col min="14350" max="14350" width="12.28515625" style="44" customWidth="1"/>
    <col min="14351" max="14351" width="13.85546875" style="44" customWidth="1"/>
    <col min="14352" max="14592" width="11.42578125" style="44"/>
    <col min="14593" max="14593" width="4" style="44" customWidth="1"/>
    <col min="14594" max="14594" width="7.5703125" style="44" customWidth="1"/>
    <col min="14595" max="14595" width="8.85546875" style="44" customWidth="1"/>
    <col min="14596" max="14596" width="8.28515625" style="44" customWidth="1"/>
    <col min="14597" max="14597" width="9.85546875" style="44" customWidth="1"/>
    <col min="14598" max="14598" width="9.140625" style="44" customWidth="1"/>
    <col min="14599" max="14601" width="8.5703125" style="44" customWidth="1"/>
    <col min="14602" max="14602" width="7.42578125" style="44" customWidth="1"/>
    <col min="14603" max="14603" width="7.85546875" style="44" customWidth="1"/>
    <col min="14604" max="14605" width="8.85546875" style="44" customWidth="1"/>
    <col min="14606" max="14606" width="12.28515625" style="44" customWidth="1"/>
    <col min="14607" max="14607" width="13.85546875" style="44" customWidth="1"/>
    <col min="14608" max="14848" width="11.42578125" style="44"/>
    <col min="14849" max="14849" width="4" style="44" customWidth="1"/>
    <col min="14850" max="14850" width="7.5703125" style="44" customWidth="1"/>
    <col min="14851" max="14851" width="8.85546875" style="44" customWidth="1"/>
    <col min="14852" max="14852" width="8.28515625" style="44" customWidth="1"/>
    <col min="14853" max="14853" width="9.85546875" style="44" customWidth="1"/>
    <col min="14854" max="14854" width="9.140625" style="44" customWidth="1"/>
    <col min="14855" max="14857" width="8.5703125" style="44" customWidth="1"/>
    <col min="14858" max="14858" width="7.42578125" style="44" customWidth="1"/>
    <col min="14859" max="14859" width="7.85546875" style="44" customWidth="1"/>
    <col min="14860" max="14861" width="8.85546875" style="44" customWidth="1"/>
    <col min="14862" max="14862" width="12.28515625" style="44" customWidth="1"/>
    <col min="14863" max="14863" width="13.85546875" style="44" customWidth="1"/>
    <col min="14864" max="15104" width="11.42578125" style="44"/>
    <col min="15105" max="15105" width="4" style="44" customWidth="1"/>
    <col min="15106" max="15106" width="7.5703125" style="44" customWidth="1"/>
    <col min="15107" max="15107" width="8.85546875" style="44" customWidth="1"/>
    <col min="15108" max="15108" width="8.28515625" style="44" customWidth="1"/>
    <col min="15109" max="15109" width="9.85546875" style="44" customWidth="1"/>
    <col min="15110" max="15110" width="9.140625" style="44" customWidth="1"/>
    <col min="15111" max="15113" width="8.5703125" style="44" customWidth="1"/>
    <col min="15114" max="15114" width="7.42578125" style="44" customWidth="1"/>
    <col min="15115" max="15115" width="7.85546875" style="44" customWidth="1"/>
    <col min="15116" max="15117" width="8.85546875" style="44" customWidth="1"/>
    <col min="15118" max="15118" width="12.28515625" style="44" customWidth="1"/>
    <col min="15119" max="15119" width="13.85546875" style="44" customWidth="1"/>
    <col min="15120" max="15360" width="11.42578125" style="44"/>
    <col min="15361" max="15361" width="4" style="44" customWidth="1"/>
    <col min="15362" max="15362" width="7.5703125" style="44" customWidth="1"/>
    <col min="15363" max="15363" width="8.85546875" style="44" customWidth="1"/>
    <col min="15364" max="15364" width="8.28515625" style="44" customWidth="1"/>
    <col min="15365" max="15365" width="9.85546875" style="44" customWidth="1"/>
    <col min="15366" max="15366" width="9.140625" style="44" customWidth="1"/>
    <col min="15367" max="15369" width="8.5703125" style="44" customWidth="1"/>
    <col min="15370" max="15370" width="7.42578125" style="44" customWidth="1"/>
    <col min="15371" max="15371" width="7.85546875" style="44" customWidth="1"/>
    <col min="15372" max="15373" width="8.85546875" style="44" customWidth="1"/>
    <col min="15374" max="15374" width="12.28515625" style="44" customWidth="1"/>
    <col min="15375" max="15375" width="13.85546875" style="44" customWidth="1"/>
    <col min="15376" max="15616" width="11.42578125" style="44"/>
    <col min="15617" max="15617" width="4" style="44" customWidth="1"/>
    <col min="15618" max="15618" width="7.5703125" style="44" customWidth="1"/>
    <col min="15619" max="15619" width="8.85546875" style="44" customWidth="1"/>
    <col min="15620" max="15620" width="8.28515625" style="44" customWidth="1"/>
    <col min="15621" max="15621" width="9.85546875" style="44" customWidth="1"/>
    <col min="15622" max="15622" width="9.140625" style="44" customWidth="1"/>
    <col min="15623" max="15625" width="8.5703125" style="44" customWidth="1"/>
    <col min="15626" max="15626" width="7.42578125" style="44" customWidth="1"/>
    <col min="15627" max="15627" width="7.85546875" style="44" customWidth="1"/>
    <col min="15628" max="15629" width="8.85546875" style="44" customWidth="1"/>
    <col min="15630" max="15630" width="12.28515625" style="44" customWidth="1"/>
    <col min="15631" max="15631" width="13.85546875" style="44" customWidth="1"/>
    <col min="15632" max="15872" width="11.42578125" style="44"/>
    <col min="15873" max="15873" width="4" style="44" customWidth="1"/>
    <col min="15874" max="15874" width="7.5703125" style="44" customWidth="1"/>
    <col min="15875" max="15875" width="8.85546875" style="44" customWidth="1"/>
    <col min="15876" max="15876" width="8.28515625" style="44" customWidth="1"/>
    <col min="15877" max="15877" width="9.85546875" style="44" customWidth="1"/>
    <col min="15878" max="15878" width="9.140625" style="44" customWidth="1"/>
    <col min="15879" max="15881" width="8.5703125" style="44" customWidth="1"/>
    <col min="15882" max="15882" width="7.42578125" style="44" customWidth="1"/>
    <col min="15883" max="15883" width="7.85546875" style="44" customWidth="1"/>
    <col min="15884" max="15885" width="8.85546875" style="44" customWidth="1"/>
    <col min="15886" max="15886" width="12.28515625" style="44" customWidth="1"/>
    <col min="15887" max="15887" width="13.85546875" style="44" customWidth="1"/>
    <col min="15888" max="16128" width="11.42578125" style="44"/>
    <col min="16129" max="16129" width="4" style="44" customWidth="1"/>
    <col min="16130" max="16130" width="7.5703125" style="44" customWidth="1"/>
    <col min="16131" max="16131" width="8.85546875" style="44" customWidth="1"/>
    <col min="16132" max="16132" width="8.28515625" style="44" customWidth="1"/>
    <col min="16133" max="16133" width="9.85546875" style="44" customWidth="1"/>
    <col min="16134" max="16134" width="9.140625" style="44" customWidth="1"/>
    <col min="16135" max="16137" width="8.5703125" style="44" customWidth="1"/>
    <col min="16138" max="16138" width="7.42578125" style="44" customWidth="1"/>
    <col min="16139" max="16139" width="7.85546875" style="44" customWidth="1"/>
    <col min="16140" max="16141" width="8.85546875" style="44" customWidth="1"/>
    <col min="16142" max="16142" width="12.28515625" style="44" customWidth="1"/>
    <col min="16143" max="16143" width="13.85546875" style="44" customWidth="1"/>
    <col min="16144" max="16384" width="11.42578125" style="44"/>
  </cols>
  <sheetData>
    <row r="1" spans="2:15" ht="15.75" thickBot="1" x14ac:dyDescent="0.3"/>
    <row r="2" spans="2:15" ht="15.75" thickBot="1" x14ac:dyDescent="0.3">
      <c r="B2" s="412"/>
      <c r="C2" s="413" t="s">
        <v>4</v>
      </c>
      <c r="D2" s="731" t="str">
        <f>country</f>
        <v>Czech Republic</v>
      </c>
      <c r="E2" s="732"/>
      <c r="F2" s="733"/>
      <c r="H2" s="734"/>
      <c r="I2" s="734"/>
      <c r="J2" s="734"/>
      <c r="K2" s="734"/>
    </row>
    <row r="3" spans="2:15" x14ac:dyDescent="0.25">
      <c r="B3" s="412"/>
      <c r="H3" s="735"/>
      <c r="I3" s="735"/>
      <c r="J3" s="735"/>
      <c r="K3" s="735"/>
    </row>
    <row r="4" spans="2:15" s="175" customFormat="1" ht="15.75" x14ac:dyDescent="0.25">
      <c r="C4" s="414" t="s">
        <v>139</v>
      </c>
      <c r="D4" s="414"/>
      <c r="E4" s="414"/>
      <c r="F4" s="415"/>
      <c r="G4" s="415"/>
      <c r="H4" s="415"/>
      <c r="I4" s="415"/>
      <c r="J4" s="415"/>
      <c r="K4" s="415"/>
      <c r="N4" s="415"/>
    </row>
    <row r="5" spans="2:15" x14ac:dyDescent="0.25">
      <c r="C5" s="416" t="s">
        <v>140</v>
      </c>
      <c r="D5" s="416"/>
      <c r="E5" s="416"/>
    </row>
    <row r="6" spans="2:15" ht="15.75" thickBot="1" x14ac:dyDescent="0.3">
      <c r="B6" s="416"/>
    </row>
    <row r="7" spans="2:15" ht="15.75" thickBot="1" x14ac:dyDescent="0.3">
      <c r="B7" s="416"/>
      <c r="C7" s="417" t="s">
        <v>141</v>
      </c>
      <c r="D7" s="416"/>
    </row>
    <row r="8" spans="2:15" x14ac:dyDescent="0.25">
      <c r="B8" s="416"/>
      <c r="C8" s="418" t="s">
        <v>49</v>
      </c>
      <c r="D8" s="419">
        <f>Parameters!M20</f>
        <v>0</v>
      </c>
      <c r="E8" s="420" t="s">
        <v>21</v>
      </c>
      <c r="F8" s="419">
        <f>Parameters!M13</f>
        <v>0.15</v>
      </c>
      <c r="G8" s="421" t="s">
        <v>84</v>
      </c>
      <c r="H8" s="422">
        <f>Parameters!M18</f>
        <v>0.24</v>
      </c>
      <c r="I8" s="423"/>
      <c r="J8" s="423"/>
      <c r="K8" s="423"/>
      <c r="L8" s="424"/>
    </row>
    <row r="9" spans="2:15" x14ac:dyDescent="0.25">
      <c r="B9" s="416"/>
      <c r="C9" s="425" t="s">
        <v>23</v>
      </c>
      <c r="D9" s="426">
        <f>Parameters!M15</f>
        <v>0.4</v>
      </c>
      <c r="E9" s="427" t="s">
        <v>22</v>
      </c>
      <c r="F9" s="426">
        <f>Parameters!M14</f>
        <v>0.2</v>
      </c>
      <c r="G9" s="428" t="s">
        <v>101</v>
      </c>
      <c r="H9" s="429">
        <f>Parameters!M19</f>
        <v>0.05</v>
      </c>
      <c r="I9" s="423"/>
      <c r="J9" s="423"/>
      <c r="K9" s="423"/>
      <c r="L9" s="424"/>
    </row>
    <row r="10" spans="2:15" ht="15.75" thickBot="1" x14ac:dyDescent="0.3">
      <c r="B10" s="416"/>
      <c r="C10" s="430" t="s">
        <v>82</v>
      </c>
      <c r="D10" s="431">
        <f>Parameters!M16</f>
        <v>0.43</v>
      </c>
      <c r="E10" s="432" t="s">
        <v>25</v>
      </c>
      <c r="F10" s="431">
        <f>Parameters!M17</f>
        <v>0.24</v>
      </c>
      <c r="G10" s="432" t="s">
        <v>142</v>
      </c>
      <c r="H10" s="433">
        <f>Parameters!$M$21</f>
        <v>0.15</v>
      </c>
      <c r="I10" s="423"/>
      <c r="J10" s="423"/>
      <c r="K10" s="423"/>
      <c r="L10" s="434"/>
    </row>
    <row r="11" spans="2:15" x14ac:dyDescent="0.25">
      <c r="B11" s="416"/>
    </row>
    <row r="12" spans="2:15" ht="15.75" thickBot="1" x14ac:dyDescent="0.3">
      <c r="B12" s="435"/>
    </row>
    <row r="13" spans="2:15" s="442" customFormat="1" ht="39.75" thickBot="1" x14ac:dyDescent="0.3">
      <c r="B13" s="436" t="s">
        <v>66</v>
      </c>
      <c r="C13" s="436" t="s">
        <v>49</v>
      </c>
      <c r="D13" s="362" t="s">
        <v>81</v>
      </c>
      <c r="E13" s="363" t="s">
        <v>22</v>
      </c>
      <c r="F13" s="363" t="s">
        <v>23</v>
      </c>
      <c r="G13" s="363" t="s">
        <v>82</v>
      </c>
      <c r="H13" s="363" t="s">
        <v>25</v>
      </c>
      <c r="I13" s="437" t="s">
        <v>84</v>
      </c>
      <c r="J13" s="438" t="s">
        <v>101</v>
      </c>
      <c r="K13" s="439" t="s">
        <v>143</v>
      </c>
      <c r="L13" s="363" t="s">
        <v>144</v>
      </c>
      <c r="M13" s="364" t="s">
        <v>145</v>
      </c>
      <c r="N13" s="440" t="s">
        <v>132</v>
      </c>
      <c r="O13" s="441" t="s">
        <v>146</v>
      </c>
    </row>
    <row r="14" spans="2:15" s="442" customFormat="1" ht="15.75" thickBot="1" x14ac:dyDescent="0.3">
      <c r="B14" s="443"/>
      <c r="C14" s="188" t="s">
        <v>93</v>
      </c>
      <c r="D14" s="371" t="s">
        <v>93</v>
      </c>
      <c r="E14" s="369" t="s">
        <v>93</v>
      </c>
      <c r="F14" s="369" t="s">
        <v>93</v>
      </c>
      <c r="G14" s="369" t="s">
        <v>93</v>
      </c>
      <c r="H14" s="369" t="s">
        <v>93</v>
      </c>
      <c r="I14" s="444" t="s">
        <v>93</v>
      </c>
      <c r="J14" s="445" t="s">
        <v>93</v>
      </c>
      <c r="K14" s="446" t="s">
        <v>93</v>
      </c>
      <c r="L14" s="369" t="s">
        <v>93</v>
      </c>
      <c r="M14" s="370" t="s">
        <v>93</v>
      </c>
      <c r="N14" s="447" t="s">
        <v>93</v>
      </c>
      <c r="O14" s="370" t="s">
        <v>93</v>
      </c>
    </row>
    <row r="15" spans="2:15" x14ac:dyDescent="0.25">
      <c r="B15" s="384"/>
      <c r="C15" s="448"/>
      <c r="D15" s="449"/>
      <c r="E15" s="450"/>
      <c r="F15" s="450"/>
      <c r="G15" s="450"/>
      <c r="H15" s="450"/>
      <c r="I15" s="451"/>
      <c r="J15" s="452"/>
      <c r="K15" s="453"/>
      <c r="L15" s="454"/>
      <c r="M15" s="455"/>
      <c r="N15" s="449"/>
      <c r="O15" s="456"/>
    </row>
    <row r="16" spans="2:15" x14ac:dyDescent="0.25">
      <c r="B16" s="393">
        <f>year</f>
        <v>1950</v>
      </c>
      <c r="C16" s="457">
        <f>Amnt_Deposited!J11*$D$8*(1-DOCF)*MSW!C19</f>
        <v>0</v>
      </c>
      <c r="D16" s="458">
        <f>Amnt_Deposited!C11*$F$8*(1-DOCF)*Food!D19</f>
        <v>46.323900000000002</v>
      </c>
      <c r="E16" s="459">
        <f>Amnt_Deposited!D11*$F$9*(1-DOCF)*Garden!D19</f>
        <v>0</v>
      </c>
      <c r="F16" s="459">
        <f>Amnt_Deposited!E11*$D$9*(1-DOCF)*Paper!D19</f>
        <v>89.467199999999991</v>
      </c>
      <c r="G16" s="459">
        <f>Amnt_Deposited!F11*$D$10*(1-DOCF)*Wood!D19</f>
        <v>33.088499999999996</v>
      </c>
      <c r="H16" s="459">
        <f>Amnt_Deposited!G11*$F$10*(1-DOCF)*Textiles!D19</f>
        <v>11.57328</v>
      </c>
      <c r="I16" s="460">
        <f>Amnt_Deposited!H11*$H$8*(1-DOCF)*Nappies!D19</f>
        <v>0</v>
      </c>
      <c r="J16" s="461">
        <f>Amnt_Deposited!I11*$H$9*(1-DOCF)*Sludge!D19</f>
        <v>0</v>
      </c>
      <c r="K16" s="462">
        <f>Amnt_Deposited!L11*$H$10*(1-DOCF)*Industry!D19</f>
        <v>0</v>
      </c>
      <c r="L16" s="459">
        <f>Amnt_Deposited!L11*Parameters!$E$46*$D$9*(1-DOCF)*Industry!D19</f>
        <v>0</v>
      </c>
      <c r="M16" s="460">
        <f>Amnt_Deposited!L11*Parameters!$E$47*$D$10*(1-DOCF)*Industry!D19</f>
        <v>0</v>
      </c>
      <c r="N16" s="394">
        <f t="shared" ref="N16:N47" si="0">IF(Select2=2,C16+J16+K16, D16+E16+F16+G16+H16+I16+J16+K16)</f>
        <v>180.45287999999999</v>
      </c>
      <c r="O16" s="396">
        <f t="shared" ref="O16:O79" si="1">O15+N16</f>
        <v>180.45287999999999</v>
      </c>
    </row>
    <row r="17" spans="2:15" x14ac:dyDescent="0.25">
      <c r="B17" s="393">
        <f>B16+1</f>
        <v>1951</v>
      </c>
      <c r="C17" s="457">
        <f>Amnt_Deposited!J12*$D$8*(1-DOCF)*MSW!C20</f>
        <v>0</v>
      </c>
      <c r="D17" s="458">
        <f>Amnt_Deposited!C12*$F$8*(1-DOCF)*Food!D20</f>
        <v>46.323900000000002</v>
      </c>
      <c r="E17" s="459">
        <f>Amnt_Deposited!D12*$F$9*(1-DOCF)*Garden!D20</f>
        <v>0</v>
      </c>
      <c r="F17" s="459">
        <f>Amnt_Deposited!E12*$D$9*(1-DOCF)*Paper!D20</f>
        <v>89.467199999999991</v>
      </c>
      <c r="G17" s="459">
        <f>Amnt_Deposited!F12*$D$10*(1-DOCF)*Wood!D20</f>
        <v>33.088499999999996</v>
      </c>
      <c r="H17" s="459">
        <f>Amnt_Deposited!G12*$F$10*(1-DOCF)*Textiles!D20</f>
        <v>11.57328</v>
      </c>
      <c r="I17" s="460">
        <f>Amnt_Deposited!H12*$H$8*(1-DOCF)*Nappies!D20</f>
        <v>0</v>
      </c>
      <c r="J17" s="461">
        <f>Amnt_Deposited!I12*$H$9*(1-DOCF)*Sludge!D20</f>
        <v>0</v>
      </c>
      <c r="K17" s="462">
        <f>Amnt_Deposited!L12*$H$10*(1-DOCF)*Industry!D20</f>
        <v>0</v>
      </c>
      <c r="L17" s="459">
        <f>Amnt_Deposited!L12*Parameters!$E$46*$D$9*(1-DOCF)*Industry!D20</f>
        <v>0</v>
      </c>
      <c r="M17" s="460">
        <f>Amnt_Deposited!L12*Parameters!$E$47*$D$10*(1-DOCF)*Industry!D20</f>
        <v>0</v>
      </c>
      <c r="N17" s="394">
        <f t="shared" si="0"/>
        <v>180.45287999999999</v>
      </c>
      <c r="O17" s="396">
        <f t="shared" si="1"/>
        <v>360.90575999999999</v>
      </c>
    </row>
    <row r="18" spans="2:15" x14ac:dyDescent="0.25">
      <c r="B18" s="393">
        <f t="shared" ref="B18:B81" si="2">B17+1</f>
        <v>1952</v>
      </c>
      <c r="C18" s="457">
        <f>Amnt_Deposited!J13*$D$8*(1-DOCF)*MSW!C21</f>
        <v>0</v>
      </c>
      <c r="D18" s="458">
        <f>Amnt_Deposited!C13*$F$8*(1-DOCF)*Food!D21</f>
        <v>46.323900000000002</v>
      </c>
      <c r="E18" s="459">
        <f>Amnt_Deposited!D13*$F$9*(1-DOCF)*Garden!D21</f>
        <v>0</v>
      </c>
      <c r="F18" s="459">
        <f>Amnt_Deposited!E13*$D$9*(1-DOCF)*Paper!D21</f>
        <v>89.467199999999991</v>
      </c>
      <c r="G18" s="459">
        <f>Amnt_Deposited!F13*$D$10*(1-DOCF)*Wood!D21</f>
        <v>33.088499999999996</v>
      </c>
      <c r="H18" s="459">
        <f>Amnt_Deposited!G13*$F$10*(1-DOCF)*Textiles!D21</f>
        <v>11.57328</v>
      </c>
      <c r="I18" s="460">
        <f>Amnt_Deposited!H13*$H$8*(1-DOCF)*Nappies!D21</f>
        <v>0</v>
      </c>
      <c r="J18" s="461">
        <f>Amnt_Deposited!I13*$H$9*(1-DOCF)*Sludge!D21</f>
        <v>0</v>
      </c>
      <c r="K18" s="462">
        <f>Amnt_Deposited!L13*$H$10*(1-DOCF)*Industry!D21</f>
        <v>0</v>
      </c>
      <c r="L18" s="459">
        <f>Amnt_Deposited!L13*Parameters!$E$46*$D$9*(1-DOCF)*Industry!D21</f>
        <v>0</v>
      </c>
      <c r="M18" s="460">
        <f>Amnt_Deposited!L13*Parameters!$E$47*$D$10*(1-DOCF)*Industry!D21</f>
        <v>0</v>
      </c>
      <c r="N18" s="394">
        <f t="shared" si="0"/>
        <v>180.45287999999999</v>
      </c>
      <c r="O18" s="396">
        <f t="shared" si="1"/>
        <v>541.35863999999992</v>
      </c>
    </row>
    <row r="19" spans="2:15" x14ac:dyDescent="0.25">
      <c r="B19" s="393">
        <f t="shared" si="2"/>
        <v>1953</v>
      </c>
      <c r="C19" s="457">
        <f>Amnt_Deposited!J14*$D$8*(1-DOCF)*MSW!C22</f>
        <v>0</v>
      </c>
      <c r="D19" s="458">
        <f>Amnt_Deposited!C14*$F$8*(1-DOCF)*Food!D22</f>
        <v>46.323900000000002</v>
      </c>
      <c r="E19" s="459">
        <f>Amnt_Deposited!D14*$F$9*(1-DOCF)*Garden!D22</f>
        <v>0</v>
      </c>
      <c r="F19" s="459">
        <f>Amnt_Deposited!E14*$D$9*(1-DOCF)*Paper!D22</f>
        <v>89.467199999999991</v>
      </c>
      <c r="G19" s="459">
        <f>Amnt_Deposited!F14*$D$10*(1-DOCF)*Wood!D22</f>
        <v>33.088499999999996</v>
      </c>
      <c r="H19" s="459">
        <f>Amnt_Deposited!G14*$F$10*(1-DOCF)*Textiles!D22</f>
        <v>11.57328</v>
      </c>
      <c r="I19" s="460">
        <f>Amnt_Deposited!H14*$H$8*(1-DOCF)*Nappies!D22</f>
        <v>0</v>
      </c>
      <c r="J19" s="461">
        <f>Amnt_Deposited!I14*$H$9*(1-DOCF)*Sludge!D22</f>
        <v>0</v>
      </c>
      <c r="K19" s="462">
        <f>Amnt_Deposited!L14*$H$10*(1-DOCF)*Industry!D22</f>
        <v>0</v>
      </c>
      <c r="L19" s="459">
        <f>Amnt_Deposited!L14*Parameters!$E$46*$D$9*(1-DOCF)*Industry!D22</f>
        <v>0</v>
      </c>
      <c r="M19" s="460">
        <f>Amnt_Deposited!L14*Parameters!$E$47*$D$10*(1-DOCF)*Industry!D22</f>
        <v>0</v>
      </c>
      <c r="N19" s="394">
        <f t="shared" si="0"/>
        <v>180.45287999999999</v>
      </c>
      <c r="O19" s="396">
        <f t="shared" si="1"/>
        <v>721.81151999999997</v>
      </c>
    </row>
    <row r="20" spans="2:15" x14ac:dyDescent="0.25">
      <c r="B20" s="393">
        <f t="shared" si="2"/>
        <v>1954</v>
      </c>
      <c r="C20" s="457">
        <f>Amnt_Deposited!J15*$D$8*(1-DOCF)*MSW!C23</f>
        <v>0</v>
      </c>
      <c r="D20" s="458">
        <f>Amnt_Deposited!C15*$F$8*(1-DOCF)*Food!D23</f>
        <v>46.323900000000002</v>
      </c>
      <c r="E20" s="459">
        <f>Amnt_Deposited!D15*$F$9*(1-DOCF)*Garden!D23</f>
        <v>0</v>
      </c>
      <c r="F20" s="459">
        <f>Amnt_Deposited!E15*$D$9*(1-DOCF)*Paper!D23</f>
        <v>89.467199999999991</v>
      </c>
      <c r="G20" s="459">
        <f>Amnt_Deposited!F15*$D$10*(1-DOCF)*Wood!D23</f>
        <v>33.088499999999996</v>
      </c>
      <c r="H20" s="459">
        <f>Amnt_Deposited!G15*$F$10*(1-DOCF)*Textiles!D23</f>
        <v>11.57328</v>
      </c>
      <c r="I20" s="460">
        <f>Amnt_Deposited!H15*$H$8*(1-DOCF)*Nappies!D23</f>
        <v>0</v>
      </c>
      <c r="J20" s="461">
        <f>Amnt_Deposited!I15*$H$9*(1-DOCF)*Sludge!D23</f>
        <v>0</v>
      </c>
      <c r="K20" s="462">
        <f>Amnt_Deposited!L15*$H$10*(1-DOCF)*Industry!D23</f>
        <v>0</v>
      </c>
      <c r="L20" s="459">
        <f>Amnt_Deposited!L15*Parameters!$E$46*$D$9*(1-DOCF)*Industry!D23</f>
        <v>0</v>
      </c>
      <c r="M20" s="460">
        <f>Amnt_Deposited!L15*Parameters!$E$47*$D$10*(1-DOCF)*Industry!D23</f>
        <v>0</v>
      </c>
      <c r="N20" s="394">
        <f t="shared" si="0"/>
        <v>180.45287999999999</v>
      </c>
      <c r="O20" s="396">
        <f t="shared" si="1"/>
        <v>902.26440000000002</v>
      </c>
    </row>
    <row r="21" spans="2:15" x14ac:dyDescent="0.25">
      <c r="B21" s="393">
        <f t="shared" si="2"/>
        <v>1955</v>
      </c>
      <c r="C21" s="457">
        <f>Amnt_Deposited!J16*$D$8*(1-DOCF)*MSW!C24</f>
        <v>0</v>
      </c>
      <c r="D21" s="458">
        <f>Amnt_Deposited!C16*$F$8*(1-DOCF)*Food!D24</f>
        <v>46.323900000000002</v>
      </c>
      <c r="E21" s="459">
        <f>Amnt_Deposited!D16*$F$9*(1-DOCF)*Garden!D24</f>
        <v>0</v>
      </c>
      <c r="F21" s="459">
        <f>Amnt_Deposited!E16*$D$9*(1-DOCF)*Paper!D24</f>
        <v>89.467199999999991</v>
      </c>
      <c r="G21" s="459">
        <f>Amnt_Deposited!F16*$D$10*(1-DOCF)*Wood!D24</f>
        <v>33.088499999999996</v>
      </c>
      <c r="H21" s="459">
        <f>Amnt_Deposited!G16*$F$10*(1-DOCF)*Textiles!D24</f>
        <v>11.57328</v>
      </c>
      <c r="I21" s="460">
        <f>Amnt_Deposited!H16*$H$8*(1-DOCF)*Nappies!D24</f>
        <v>0</v>
      </c>
      <c r="J21" s="461">
        <f>Amnt_Deposited!I16*$H$9*(1-DOCF)*Sludge!D24</f>
        <v>0</v>
      </c>
      <c r="K21" s="462">
        <f>Amnt_Deposited!L16*$H$10*(1-DOCF)*Industry!D24</f>
        <v>0</v>
      </c>
      <c r="L21" s="459">
        <f>Amnt_Deposited!L16*Parameters!$E$46*$D$9*(1-DOCF)*Industry!D24</f>
        <v>0</v>
      </c>
      <c r="M21" s="460">
        <f>Amnt_Deposited!L16*Parameters!$E$47*$D$10*(1-DOCF)*Industry!D24</f>
        <v>0</v>
      </c>
      <c r="N21" s="394">
        <f t="shared" si="0"/>
        <v>180.45287999999999</v>
      </c>
      <c r="O21" s="396">
        <f t="shared" si="1"/>
        <v>1082.7172800000001</v>
      </c>
    </row>
    <row r="22" spans="2:15" x14ac:dyDescent="0.25">
      <c r="B22" s="393">
        <f t="shared" si="2"/>
        <v>1956</v>
      </c>
      <c r="C22" s="457">
        <f>Amnt_Deposited!J17*$D$8*(1-DOCF)*MSW!C25</f>
        <v>0</v>
      </c>
      <c r="D22" s="458">
        <f>Amnt_Deposited!C17*$F$8*(1-DOCF)*Food!D25</f>
        <v>46.323900000000002</v>
      </c>
      <c r="E22" s="459">
        <f>Amnt_Deposited!D17*$F$9*(1-DOCF)*Garden!D25</f>
        <v>0</v>
      </c>
      <c r="F22" s="459">
        <f>Amnt_Deposited!E17*$D$9*(1-DOCF)*Paper!D25</f>
        <v>89.467199999999991</v>
      </c>
      <c r="G22" s="459">
        <f>Amnt_Deposited!F17*$D$10*(1-DOCF)*Wood!D25</f>
        <v>33.088499999999996</v>
      </c>
      <c r="H22" s="459">
        <f>Amnt_Deposited!G17*$F$10*(1-DOCF)*Textiles!D25</f>
        <v>11.57328</v>
      </c>
      <c r="I22" s="460">
        <f>Amnt_Deposited!H17*$H$8*(1-DOCF)*Nappies!D25</f>
        <v>0</v>
      </c>
      <c r="J22" s="461">
        <f>Amnt_Deposited!I17*$H$9*(1-DOCF)*Sludge!D25</f>
        <v>0</v>
      </c>
      <c r="K22" s="462">
        <f>Amnt_Deposited!L17*$H$10*(1-DOCF)*Industry!D25</f>
        <v>0</v>
      </c>
      <c r="L22" s="459">
        <f>Amnt_Deposited!L17*Parameters!$E$46*$D$9*(1-DOCF)*Industry!D25</f>
        <v>0</v>
      </c>
      <c r="M22" s="460">
        <f>Amnt_Deposited!L17*Parameters!$E$47*$D$10*(1-DOCF)*Industry!D25</f>
        <v>0</v>
      </c>
      <c r="N22" s="394">
        <f t="shared" si="0"/>
        <v>180.45287999999999</v>
      </c>
      <c r="O22" s="396">
        <f t="shared" si="1"/>
        <v>1263.1701600000001</v>
      </c>
    </row>
    <row r="23" spans="2:15" x14ac:dyDescent="0.25">
      <c r="B23" s="393">
        <f t="shared" si="2"/>
        <v>1957</v>
      </c>
      <c r="C23" s="457">
        <f>Amnt_Deposited!J18*$D$8*(1-DOCF)*MSW!C26</f>
        <v>0</v>
      </c>
      <c r="D23" s="458">
        <f>Amnt_Deposited!C18*$F$8*(1-DOCF)*Food!D26</f>
        <v>46.323900000000002</v>
      </c>
      <c r="E23" s="459">
        <f>Amnt_Deposited!D18*$F$9*(1-DOCF)*Garden!D26</f>
        <v>0</v>
      </c>
      <c r="F23" s="459">
        <f>Amnt_Deposited!E18*$D$9*(1-DOCF)*Paper!D26</f>
        <v>89.467199999999991</v>
      </c>
      <c r="G23" s="459">
        <f>Amnt_Deposited!F18*$D$10*(1-DOCF)*Wood!D26</f>
        <v>33.088499999999996</v>
      </c>
      <c r="H23" s="459">
        <f>Amnt_Deposited!G18*$F$10*(1-DOCF)*Textiles!D26</f>
        <v>11.57328</v>
      </c>
      <c r="I23" s="460">
        <f>Amnt_Deposited!H18*$H$8*(1-DOCF)*Nappies!D26</f>
        <v>0</v>
      </c>
      <c r="J23" s="461">
        <f>Amnt_Deposited!I18*$H$9*(1-DOCF)*Sludge!D26</f>
        <v>0</v>
      </c>
      <c r="K23" s="462">
        <f>Amnt_Deposited!L18*$H$10*(1-DOCF)*Industry!D26</f>
        <v>0</v>
      </c>
      <c r="L23" s="459">
        <f>Amnt_Deposited!L18*Parameters!$E$46*$D$9*(1-DOCF)*Industry!D26</f>
        <v>0</v>
      </c>
      <c r="M23" s="460">
        <f>Amnt_Deposited!L18*Parameters!$E$47*$D$10*(1-DOCF)*Industry!D26</f>
        <v>0</v>
      </c>
      <c r="N23" s="394">
        <f t="shared" si="0"/>
        <v>180.45287999999999</v>
      </c>
      <c r="O23" s="396">
        <f t="shared" si="1"/>
        <v>1443.6230400000002</v>
      </c>
    </row>
    <row r="24" spans="2:15" x14ac:dyDescent="0.25">
      <c r="B24" s="393">
        <f t="shared" si="2"/>
        <v>1958</v>
      </c>
      <c r="C24" s="457">
        <f>Amnt_Deposited!J19*$D$8*(1-DOCF)*MSW!C27</f>
        <v>0</v>
      </c>
      <c r="D24" s="458">
        <f>Amnt_Deposited!C19*$F$8*(1-DOCF)*Food!D27</f>
        <v>46.323900000000002</v>
      </c>
      <c r="E24" s="459">
        <f>Amnt_Deposited!D19*$F$9*(1-DOCF)*Garden!D27</f>
        <v>0</v>
      </c>
      <c r="F24" s="459">
        <f>Amnt_Deposited!E19*$D$9*(1-DOCF)*Paper!D27</f>
        <v>89.467199999999991</v>
      </c>
      <c r="G24" s="459">
        <f>Amnt_Deposited!F19*$D$10*(1-DOCF)*Wood!D27</f>
        <v>33.088499999999996</v>
      </c>
      <c r="H24" s="459">
        <f>Amnt_Deposited!G19*$F$10*(1-DOCF)*Textiles!D27</f>
        <v>11.57328</v>
      </c>
      <c r="I24" s="460">
        <f>Amnt_Deposited!H19*$H$8*(1-DOCF)*Nappies!D27</f>
        <v>0</v>
      </c>
      <c r="J24" s="461">
        <f>Amnt_Deposited!I19*$H$9*(1-DOCF)*Sludge!D27</f>
        <v>0</v>
      </c>
      <c r="K24" s="462">
        <f>Amnt_Deposited!L19*$H$10*(1-DOCF)*Industry!D27</f>
        <v>0</v>
      </c>
      <c r="L24" s="459">
        <f>Amnt_Deposited!L19*Parameters!$E$46*$D$9*(1-DOCF)*Industry!D27</f>
        <v>0</v>
      </c>
      <c r="M24" s="460">
        <f>Amnt_Deposited!L19*Parameters!$E$47*$D$10*(1-DOCF)*Industry!D27</f>
        <v>0</v>
      </c>
      <c r="N24" s="394">
        <f t="shared" si="0"/>
        <v>180.45287999999999</v>
      </c>
      <c r="O24" s="396">
        <f t="shared" si="1"/>
        <v>1624.0759200000002</v>
      </c>
    </row>
    <row r="25" spans="2:15" x14ac:dyDescent="0.25">
      <c r="B25" s="393">
        <f t="shared" si="2"/>
        <v>1959</v>
      </c>
      <c r="C25" s="457">
        <f>Amnt_Deposited!J20*$D$8*(1-DOCF)*MSW!C28</f>
        <v>0</v>
      </c>
      <c r="D25" s="458">
        <f>Amnt_Deposited!C20*$F$8*(1-DOCF)*Food!D28</f>
        <v>46.323900000000002</v>
      </c>
      <c r="E25" s="459">
        <f>Amnt_Deposited!D20*$F$9*(1-DOCF)*Garden!D28</f>
        <v>0</v>
      </c>
      <c r="F25" s="459">
        <f>Amnt_Deposited!E20*$D$9*(1-DOCF)*Paper!D28</f>
        <v>89.467199999999991</v>
      </c>
      <c r="G25" s="459">
        <f>Amnt_Deposited!F20*$D$10*(1-DOCF)*Wood!D28</f>
        <v>33.088499999999996</v>
      </c>
      <c r="H25" s="459">
        <f>Amnt_Deposited!G20*$F$10*(1-DOCF)*Textiles!D28</f>
        <v>11.57328</v>
      </c>
      <c r="I25" s="460">
        <f>Amnt_Deposited!H20*$H$8*(1-DOCF)*Nappies!D28</f>
        <v>0</v>
      </c>
      <c r="J25" s="461">
        <f>Amnt_Deposited!I20*$H$9*(1-DOCF)*Sludge!D28</f>
        <v>0</v>
      </c>
      <c r="K25" s="462">
        <f>Amnt_Deposited!L20*$H$10*(1-DOCF)*Industry!D28</f>
        <v>0</v>
      </c>
      <c r="L25" s="459">
        <f>Amnt_Deposited!L20*Parameters!$E$46*$D$9*(1-DOCF)*Industry!D28</f>
        <v>0</v>
      </c>
      <c r="M25" s="460">
        <f>Amnt_Deposited!L20*Parameters!$E$47*$D$10*(1-DOCF)*Industry!D28</f>
        <v>0</v>
      </c>
      <c r="N25" s="394">
        <f t="shared" si="0"/>
        <v>180.45287999999999</v>
      </c>
      <c r="O25" s="396">
        <f t="shared" si="1"/>
        <v>1804.5288000000003</v>
      </c>
    </row>
    <row r="26" spans="2:15" x14ac:dyDescent="0.25">
      <c r="B26" s="393">
        <f t="shared" si="2"/>
        <v>1960</v>
      </c>
      <c r="C26" s="457">
        <f>Amnt_Deposited!J21*$D$8*(1-DOCF)*MSW!C29</f>
        <v>0</v>
      </c>
      <c r="D26" s="458">
        <f>Amnt_Deposited!C21*$F$8*(1-DOCF)*Food!D29</f>
        <v>46.323900000000002</v>
      </c>
      <c r="E26" s="459">
        <f>Amnt_Deposited!D21*$F$9*(1-DOCF)*Garden!D29</f>
        <v>0</v>
      </c>
      <c r="F26" s="459">
        <f>Amnt_Deposited!E21*$D$9*(1-DOCF)*Paper!D29</f>
        <v>89.467199999999991</v>
      </c>
      <c r="G26" s="459">
        <f>Amnt_Deposited!F21*$D$10*(1-DOCF)*Wood!D29</f>
        <v>33.088499999999996</v>
      </c>
      <c r="H26" s="459">
        <f>Amnt_Deposited!G21*$F$10*(1-DOCF)*Textiles!D29</f>
        <v>11.57328</v>
      </c>
      <c r="I26" s="460">
        <f>Amnt_Deposited!H21*$H$8*(1-DOCF)*Nappies!D29</f>
        <v>0</v>
      </c>
      <c r="J26" s="461">
        <f>Amnt_Deposited!I21*$H$9*(1-DOCF)*Sludge!D29</f>
        <v>0</v>
      </c>
      <c r="K26" s="462">
        <f>Amnt_Deposited!L21*$H$10*(1-DOCF)*Industry!D29</f>
        <v>0</v>
      </c>
      <c r="L26" s="459">
        <f>Amnt_Deposited!L21*Parameters!$E$46*$D$9*(1-DOCF)*Industry!D29</f>
        <v>0</v>
      </c>
      <c r="M26" s="460">
        <f>Amnt_Deposited!L21*Parameters!$E$47*$D$10*(1-DOCF)*Industry!D29</f>
        <v>0</v>
      </c>
      <c r="N26" s="394">
        <f t="shared" si="0"/>
        <v>180.45287999999999</v>
      </c>
      <c r="O26" s="396">
        <f t="shared" si="1"/>
        <v>1984.9816800000003</v>
      </c>
    </row>
    <row r="27" spans="2:15" x14ac:dyDescent="0.25">
      <c r="B27" s="393">
        <f t="shared" si="2"/>
        <v>1961</v>
      </c>
      <c r="C27" s="457">
        <f>Amnt_Deposited!J22*$D$8*(1-DOCF)*MSW!C30</f>
        <v>0</v>
      </c>
      <c r="D27" s="458">
        <f>Amnt_Deposited!C22*$F$8*(1-DOCF)*Food!D30</f>
        <v>46.323900000000002</v>
      </c>
      <c r="E27" s="459">
        <f>Amnt_Deposited!D22*$F$9*(1-DOCF)*Garden!D30</f>
        <v>0</v>
      </c>
      <c r="F27" s="459">
        <f>Amnt_Deposited!E22*$D$9*(1-DOCF)*Paper!D30</f>
        <v>89.467199999999991</v>
      </c>
      <c r="G27" s="459">
        <f>Amnt_Deposited!F22*$D$10*(1-DOCF)*Wood!D30</f>
        <v>33.088499999999996</v>
      </c>
      <c r="H27" s="459">
        <f>Amnt_Deposited!G22*$F$10*(1-DOCF)*Textiles!D30</f>
        <v>11.57328</v>
      </c>
      <c r="I27" s="460">
        <f>Amnt_Deposited!H22*$H$8*(1-DOCF)*Nappies!D30</f>
        <v>0</v>
      </c>
      <c r="J27" s="461">
        <f>Amnt_Deposited!I22*$H$9*(1-DOCF)*Sludge!D30</f>
        <v>0</v>
      </c>
      <c r="K27" s="462">
        <f>Amnt_Deposited!L22*$H$10*(1-DOCF)*Industry!D30</f>
        <v>0</v>
      </c>
      <c r="L27" s="459">
        <f>Amnt_Deposited!L22*Parameters!$E$46*$D$9*(1-DOCF)*Industry!D30</f>
        <v>0</v>
      </c>
      <c r="M27" s="460">
        <f>Amnt_Deposited!L22*Parameters!$E$47*$D$10*(1-DOCF)*Industry!D30</f>
        <v>0</v>
      </c>
      <c r="N27" s="394">
        <f t="shared" si="0"/>
        <v>180.45287999999999</v>
      </c>
      <c r="O27" s="396">
        <f t="shared" si="1"/>
        <v>2165.4345600000001</v>
      </c>
    </row>
    <row r="28" spans="2:15" x14ac:dyDescent="0.25">
      <c r="B28" s="393">
        <f t="shared" si="2"/>
        <v>1962</v>
      </c>
      <c r="C28" s="457">
        <f>Amnt_Deposited!J23*$D$8*(1-DOCF)*MSW!C31</f>
        <v>0</v>
      </c>
      <c r="D28" s="458">
        <f>Amnt_Deposited!C23*$F$8*(1-DOCF)*Food!D31</f>
        <v>46.323900000000002</v>
      </c>
      <c r="E28" s="459">
        <f>Amnt_Deposited!D23*$F$9*(1-DOCF)*Garden!D31</f>
        <v>0</v>
      </c>
      <c r="F28" s="459">
        <f>Amnt_Deposited!E23*$D$9*(1-DOCF)*Paper!D31</f>
        <v>89.467199999999991</v>
      </c>
      <c r="G28" s="459">
        <f>Amnt_Deposited!F23*$D$10*(1-DOCF)*Wood!D31</f>
        <v>33.088499999999996</v>
      </c>
      <c r="H28" s="459">
        <f>Amnt_Deposited!G23*$F$10*(1-DOCF)*Textiles!D31</f>
        <v>11.57328</v>
      </c>
      <c r="I28" s="460">
        <f>Amnt_Deposited!H23*$H$8*(1-DOCF)*Nappies!D31</f>
        <v>0</v>
      </c>
      <c r="J28" s="461">
        <f>Amnt_Deposited!I23*$H$9*(1-DOCF)*Sludge!D31</f>
        <v>0</v>
      </c>
      <c r="K28" s="462">
        <f>Amnt_Deposited!L23*$H$10*(1-DOCF)*Industry!D31</f>
        <v>0</v>
      </c>
      <c r="L28" s="459">
        <f>Amnt_Deposited!L23*Parameters!$E$46*$D$9*(1-DOCF)*Industry!D31</f>
        <v>0</v>
      </c>
      <c r="M28" s="460">
        <f>Amnt_Deposited!L23*Parameters!$E$47*$D$10*(1-DOCF)*Industry!D31</f>
        <v>0</v>
      </c>
      <c r="N28" s="394">
        <f t="shared" si="0"/>
        <v>180.45287999999999</v>
      </c>
      <c r="O28" s="396">
        <f t="shared" si="1"/>
        <v>2345.88744</v>
      </c>
    </row>
    <row r="29" spans="2:15" x14ac:dyDescent="0.25">
      <c r="B29" s="393">
        <f t="shared" si="2"/>
        <v>1963</v>
      </c>
      <c r="C29" s="457">
        <f>Amnt_Deposited!J24*$D$8*(1-DOCF)*MSW!C32</f>
        <v>0</v>
      </c>
      <c r="D29" s="458">
        <f>Amnt_Deposited!C24*$F$8*(1-DOCF)*Food!D32</f>
        <v>46.323900000000002</v>
      </c>
      <c r="E29" s="459">
        <f>Amnt_Deposited!D24*$F$9*(1-DOCF)*Garden!D32</f>
        <v>0</v>
      </c>
      <c r="F29" s="459">
        <f>Amnt_Deposited!E24*$D$9*(1-DOCF)*Paper!D32</f>
        <v>89.467199999999991</v>
      </c>
      <c r="G29" s="459">
        <f>Amnt_Deposited!F24*$D$10*(1-DOCF)*Wood!D32</f>
        <v>33.088499999999996</v>
      </c>
      <c r="H29" s="459">
        <f>Amnt_Deposited!G24*$F$10*(1-DOCF)*Textiles!D32</f>
        <v>11.57328</v>
      </c>
      <c r="I29" s="460">
        <f>Amnt_Deposited!H24*$H$8*(1-DOCF)*Nappies!D32</f>
        <v>0</v>
      </c>
      <c r="J29" s="461">
        <f>Amnt_Deposited!I24*$H$9*(1-DOCF)*Sludge!D32</f>
        <v>0</v>
      </c>
      <c r="K29" s="462">
        <f>Amnt_Deposited!L24*$H$10*(1-DOCF)*Industry!D32</f>
        <v>0</v>
      </c>
      <c r="L29" s="459">
        <f>Amnt_Deposited!L24*Parameters!$E$46*$D$9*(1-DOCF)*Industry!D32</f>
        <v>0</v>
      </c>
      <c r="M29" s="460">
        <f>Amnt_Deposited!L24*Parameters!$E$47*$D$10*(1-DOCF)*Industry!D32</f>
        <v>0</v>
      </c>
      <c r="N29" s="394">
        <f t="shared" si="0"/>
        <v>180.45287999999999</v>
      </c>
      <c r="O29" s="396">
        <f t="shared" si="1"/>
        <v>2526.3403199999998</v>
      </c>
    </row>
    <row r="30" spans="2:15" x14ac:dyDescent="0.25">
      <c r="B30" s="393">
        <f t="shared" si="2"/>
        <v>1964</v>
      </c>
      <c r="C30" s="457">
        <f>Amnt_Deposited!J25*$D$8*(1-DOCF)*MSW!C33</f>
        <v>0</v>
      </c>
      <c r="D30" s="458">
        <f>Amnt_Deposited!C25*$F$8*(1-DOCF)*Food!D33</f>
        <v>46.323900000000002</v>
      </c>
      <c r="E30" s="459">
        <f>Amnt_Deposited!D25*$F$9*(1-DOCF)*Garden!D33</f>
        <v>0</v>
      </c>
      <c r="F30" s="459">
        <f>Amnt_Deposited!E25*$D$9*(1-DOCF)*Paper!D33</f>
        <v>89.467199999999991</v>
      </c>
      <c r="G30" s="459">
        <f>Amnt_Deposited!F25*$D$10*(1-DOCF)*Wood!D33</f>
        <v>33.088499999999996</v>
      </c>
      <c r="H30" s="459">
        <f>Amnt_Deposited!G25*$F$10*(1-DOCF)*Textiles!D33</f>
        <v>11.57328</v>
      </c>
      <c r="I30" s="460">
        <f>Amnt_Deposited!H25*$H$8*(1-DOCF)*Nappies!D33</f>
        <v>0</v>
      </c>
      <c r="J30" s="461">
        <f>Amnt_Deposited!I25*$H$9*(1-DOCF)*Sludge!D33</f>
        <v>0</v>
      </c>
      <c r="K30" s="462">
        <f>Amnt_Deposited!L25*$H$10*(1-DOCF)*Industry!D33</f>
        <v>0</v>
      </c>
      <c r="L30" s="459">
        <f>Amnt_Deposited!L25*Parameters!$E$46*$D$9*(1-DOCF)*Industry!D33</f>
        <v>0</v>
      </c>
      <c r="M30" s="460">
        <f>Amnt_Deposited!L25*Parameters!$E$47*$D$10*(1-DOCF)*Industry!D33</f>
        <v>0</v>
      </c>
      <c r="N30" s="394">
        <f t="shared" si="0"/>
        <v>180.45287999999999</v>
      </c>
      <c r="O30" s="396">
        <f t="shared" si="1"/>
        <v>2706.7931999999996</v>
      </c>
    </row>
    <row r="31" spans="2:15" x14ac:dyDescent="0.25">
      <c r="B31" s="393">
        <f t="shared" si="2"/>
        <v>1965</v>
      </c>
      <c r="C31" s="457">
        <f>Amnt_Deposited!J26*$D$8*(1-DOCF)*MSW!C34</f>
        <v>0</v>
      </c>
      <c r="D31" s="458">
        <f>Amnt_Deposited!C26*$F$8*(1-DOCF)*Food!D34</f>
        <v>46.323900000000002</v>
      </c>
      <c r="E31" s="459">
        <f>Amnt_Deposited!D26*$F$9*(1-DOCF)*Garden!D34</f>
        <v>0</v>
      </c>
      <c r="F31" s="459">
        <f>Amnt_Deposited!E26*$D$9*(1-DOCF)*Paper!D34</f>
        <v>89.467199999999991</v>
      </c>
      <c r="G31" s="459">
        <f>Amnt_Deposited!F26*$D$10*(1-DOCF)*Wood!D34</f>
        <v>33.088499999999996</v>
      </c>
      <c r="H31" s="459">
        <f>Amnt_Deposited!G26*$F$10*(1-DOCF)*Textiles!D34</f>
        <v>11.57328</v>
      </c>
      <c r="I31" s="460">
        <f>Amnt_Deposited!H26*$H$8*(1-DOCF)*Nappies!D34</f>
        <v>0</v>
      </c>
      <c r="J31" s="461">
        <f>Amnt_Deposited!I26*$H$9*(1-DOCF)*Sludge!D34</f>
        <v>0</v>
      </c>
      <c r="K31" s="462">
        <f>Amnt_Deposited!L26*$H$10*(1-DOCF)*Industry!D34</f>
        <v>0</v>
      </c>
      <c r="L31" s="459">
        <f>Amnt_Deposited!L26*Parameters!$E$46*$D$9*(1-DOCF)*Industry!D34</f>
        <v>0</v>
      </c>
      <c r="M31" s="460">
        <f>Amnt_Deposited!L26*Parameters!$E$47*$D$10*(1-DOCF)*Industry!D34</f>
        <v>0</v>
      </c>
      <c r="N31" s="394">
        <f t="shared" si="0"/>
        <v>180.45287999999999</v>
      </c>
      <c r="O31" s="396">
        <f t="shared" si="1"/>
        <v>2887.2460799999994</v>
      </c>
    </row>
    <row r="32" spans="2:15" x14ac:dyDescent="0.25">
      <c r="B32" s="393">
        <f t="shared" si="2"/>
        <v>1966</v>
      </c>
      <c r="C32" s="457">
        <f>Amnt_Deposited!J27*$D$8*(1-DOCF)*MSW!C35</f>
        <v>0</v>
      </c>
      <c r="D32" s="458">
        <f>Amnt_Deposited!C27*$F$8*(1-DOCF)*Food!D35</f>
        <v>46.323900000000002</v>
      </c>
      <c r="E32" s="459">
        <f>Amnt_Deposited!D27*$F$9*(1-DOCF)*Garden!D35</f>
        <v>0</v>
      </c>
      <c r="F32" s="459">
        <f>Amnt_Deposited!E27*$D$9*(1-DOCF)*Paper!D35</f>
        <v>89.467199999999991</v>
      </c>
      <c r="G32" s="459">
        <f>Amnt_Deposited!F27*$D$10*(1-DOCF)*Wood!D35</f>
        <v>33.088499999999996</v>
      </c>
      <c r="H32" s="459">
        <f>Amnt_Deposited!G27*$F$10*(1-DOCF)*Textiles!D35</f>
        <v>11.57328</v>
      </c>
      <c r="I32" s="460">
        <f>Amnt_Deposited!H27*$H$8*(1-DOCF)*Nappies!D35</f>
        <v>0</v>
      </c>
      <c r="J32" s="461">
        <f>Amnt_Deposited!I27*$H$9*(1-DOCF)*Sludge!D35</f>
        <v>0</v>
      </c>
      <c r="K32" s="462">
        <f>Amnt_Deposited!L27*$H$10*(1-DOCF)*Industry!D35</f>
        <v>0</v>
      </c>
      <c r="L32" s="459">
        <f>Amnt_Deposited!L27*Parameters!$E$46*$D$9*(1-DOCF)*Industry!D35</f>
        <v>0</v>
      </c>
      <c r="M32" s="460">
        <f>Amnt_Deposited!L27*Parameters!$E$47*$D$10*(1-DOCF)*Industry!D35</f>
        <v>0</v>
      </c>
      <c r="N32" s="394">
        <f t="shared" si="0"/>
        <v>180.45287999999999</v>
      </c>
      <c r="O32" s="396">
        <f t="shared" si="1"/>
        <v>3067.6989599999993</v>
      </c>
    </row>
    <row r="33" spans="2:15" x14ac:dyDescent="0.25">
      <c r="B33" s="393">
        <f t="shared" si="2"/>
        <v>1967</v>
      </c>
      <c r="C33" s="457">
        <f>Amnt_Deposited!J28*$D$8*(1-DOCF)*MSW!C36</f>
        <v>0</v>
      </c>
      <c r="D33" s="458">
        <f>Amnt_Deposited!C28*$F$8*(1-DOCF)*Food!D36</f>
        <v>46.323900000000002</v>
      </c>
      <c r="E33" s="459">
        <f>Amnt_Deposited!D28*$F$9*(1-DOCF)*Garden!D36</f>
        <v>0</v>
      </c>
      <c r="F33" s="459">
        <f>Amnt_Deposited!E28*$D$9*(1-DOCF)*Paper!D36</f>
        <v>89.467199999999991</v>
      </c>
      <c r="G33" s="459">
        <f>Amnt_Deposited!F28*$D$10*(1-DOCF)*Wood!D36</f>
        <v>33.088499999999996</v>
      </c>
      <c r="H33" s="459">
        <f>Amnt_Deposited!G28*$F$10*(1-DOCF)*Textiles!D36</f>
        <v>11.57328</v>
      </c>
      <c r="I33" s="460">
        <f>Amnt_Deposited!H28*$H$8*(1-DOCF)*Nappies!D36</f>
        <v>0</v>
      </c>
      <c r="J33" s="461">
        <f>Amnt_Deposited!I28*$H$9*(1-DOCF)*Sludge!D36</f>
        <v>0</v>
      </c>
      <c r="K33" s="462">
        <f>Amnt_Deposited!L28*$H$10*(1-DOCF)*Industry!D36</f>
        <v>0</v>
      </c>
      <c r="L33" s="459">
        <f>Amnt_Deposited!L28*Parameters!$E$46*$D$9*(1-DOCF)*Industry!D36</f>
        <v>0</v>
      </c>
      <c r="M33" s="460">
        <f>Amnt_Deposited!L28*Parameters!$E$47*$D$10*(1-DOCF)*Industry!D36</f>
        <v>0</v>
      </c>
      <c r="N33" s="394">
        <f t="shared" si="0"/>
        <v>180.45287999999999</v>
      </c>
      <c r="O33" s="396">
        <f t="shared" si="1"/>
        <v>3248.1518399999991</v>
      </c>
    </row>
    <row r="34" spans="2:15" x14ac:dyDescent="0.25">
      <c r="B34" s="393">
        <f t="shared" si="2"/>
        <v>1968</v>
      </c>
      <c r="C34" s="457">
        <f>Amnt_Deposited!J29*$D$8*(1-DOCF)*MSW!C37</f>
        <v>0</v>
      </c>
      <c r="D34" s="458">
        <f>Amnt_Deposited!C29*$F$8*(1-DOCF)*Food!D37</f>
        <v>46.323900000000002</v>
      </c>
      <c r="E34" s="459">
        <f>Amnt_Deposited!D29*$F$9*(1-DOCF)*Garden!D37</f>
        <v>0</v>
      </c>
      <c r="F34" s="459">
        <f>Amnt_Deposited!E29*$D$9*(1-DOCF)*Paper!D37</f>
        <v>89.467199999999991</v>
      </c>
      <c r="G34" s="459">
        <f>Amnt_Deposited!F29*$D$10*(1-DOCF)*Wood!D37</f>
        <v>33.088499999999996</v>
      </c>
      <c r="H34" s="459">
        <f>Amnt_Deposited!G29*$F$10*(1-DOCF)*Textiles!D37</f>
        <v>11.57328</v>
      </c>
      <c r="I34" s="460">
        <f>Amnt_Deposited!H29*$H$8*(1-DOCF)*Nappies!D37</f>
        <v>0</v>
      </c>
      <c r="J34" s="461">
        <f>Amnt_Deposited!I29*$H$9*(1-DOCF)*Sludge!D37</f>
        <v>0</v>
      </c>
      <c r="K34" s="462">
        <f>Amnt_Deposited!L29*$H$10*(1-DOCF)*Industry!D37</f>
        <v>0</v>
      </c>
      <c r="L34" s="459">
        <f>Amnt_Deposited!L29*Parameters!$E$46*$D$9*(1-DOCF)*Industry!D37</f>
        <v>0</v>
      </c>
      <c r="M34" s="460">
        <f>Amnt_Deposited!L29*Parameters!$E$47*$D$10*(1-DOCF)*Industry!D37</f>
        <v>0</v>
      </c>
      <c r="N34" s="394">
        <f t="shared" si="0"/>
        <v>180.45287999999999</v>
      </c>
      <c r="O34" s="396">
        <f t="shared" si="1"/>
        <v>3428.6047199999989</v>
      </c>
    </row>
    <row r="35" spans="2:15" x14ac:dyDescent="0.25">
      <c r="B35" s="393">
        <f t="shared" si="2"/>
        <v>1969</v>
      </c>
      <c r="C35" s="457">
        <f>Amnt_Deposited!J30*$D$8*(1-DOCF)*MSW!C38</f>
        <v>0</v>
      </c>
      <c r="D35" s="458">
        <f>Amnt_Deposited!C30*$F$8*(1-DOCF)*Food!D38</f>
        <v>46.323900000000002</v>
      </c>
      <c r="E35" s="459">
        <f>Amnt_Deposited!D30*$F$9*(1-DOCF)*Garden!D38</f>
        <v>0</v>
      </c>
      <c r="F35" s="459">
        <f>Amnt_Deposited!E30*$D$9*(1-DOCF)*Paper!D38</f>
        <v>89.467199999999991</v>
      </c>
      <c r="G35" s="459">
        <f>Amnt_Deposited!F30*$D$10*(1-DOCF)*Wood!D38</f>
        <v>33.088499999999996</v>
      </c>
      <c r="H35" s="459">
        <f>Amnt_Deposited!G30*$F$10*(1-DOCF)*Textiles!D38</f>
        <v>11.57328</v>
      </c>
      <c r="I35" s="460">
        <f>Amnt_Deposited!H30*$H$8*(1-DOCF)*Nappies!D38</f>
        <v>0</v>
      </c>
      <c r="J35" s="461">
        <f>Amnt_Deposited!I30*$H$9*(1-DOCF)*Sludge!D38</f>
        <v>0</v>
      </c>
      <c r="K35" s="462">
        <f>Amnt_Deposited!L30*$H$10*(1-DOCF)*Industry!D38</f>
        <v>0</v>
      </c>
      <c r="L35" s="459">
        <f>Amnt_Deposited!L30*Parameters!$E$46*$D$9*(1-DOCF)*Industry!D38</f>
        <v>0</v>
      </c>
      <c r="M35" s="460">
        <f>Amnt_Deposited!L30*Parameters!$E$47*$D$10*(1-DOCF)*Industry!D38</f>
        <v>0</v>
      </c>
      <c r="N35" s="394">
        <f t="shared" si="0"/>
        <v>180.45287999999999</v>
      </c>
      <c r="O35" s="396">
        <f t="shared" si="1"/>
        <v>3609.0575999999987</v>
      </c>
    </row>
    <row r="36" spans="2:15" x14ac:dyDescent="0.25">
      <c r="B36" s="393">
        <f t="shared" si="2"/>
        <v>1970</v>
      </c>
      <c r="C36" s="457">
        <f>Amnt_Deposited!J31*$D$8*(1-DOCF)*MSW!C39</f>
        <v>0</v>
      </c>
      <c r="D36" s="458">
        <f>Amnt_Deposited!C31*$F$8*(1-DOCF)*Food!D39</f>
        <v>61.765200000000007</v>
      </c>
      <c r="E36" s="459">
        <f>Amnt_Deposited!D31*$F$9*(1-DOCF)*Garden!D39</f>
        <v>0</v>
      </c>
      <c r="F36" s="459">
        <f>Amnt_Deposited!E31*$D$9*(1-DOCF)*Paper!D39</f>
        <v>119.28960000000001</v>
      </c>
      <c r="G36" s="459">
        <f>Amnt_Deposited!F31*$D$10*(1-DOCF)*Wood!D39</f>
        <v>44.118000000000002</v>
      </c>
      <c r="H36" s="459">
        <f>Amnt_Deposited!G31*$F$10*(1-DOCF)*Textiles!D39</f>
        <v>15.431040000000003</v>
      </c>
      <c r="I36" s="460">
        <f>Amnt_Deposited!H31*$H$8*(1-DOCF)*Nappies!D39</f>
        <v>0</v>
      </c>
      <c r="J36" s="461">
        <f>Amnt_Deposited!I31*$H$9*(1-DOCF)*Sludge!D39</f>
        <v>0</v>
      </c>
      <c r="K36" s="462">
        <f>Amnt_Deposited!L31*$H$10*(1-DOCF)*Industry!D39</f>
        <v>0</v>
      </c>
      <c r="L36" s="459">
        <f>Amnt_Deposited!L31*Parameters!$E$46*$D$9*(1-DOCF)*Industry!D39</f>
        <v>0</v>
      </c>
      <c r="M36" s="460">
        <f>Amnt_Deposited!L31*Parameters!$E$47*$D$10*(1-DOCF)*Industry!D39</f>
        <v>0</v>
      </c>
      <c r="N36" s="394">
        <f t="shared" si="0"/>
        <v>240.60383999999999</v>
      </c>
      <c r="O36" s="396">
        <f t="shared" si="1"/>
        <v>3849.6614399999989</v>
      </c>
    </row>
    <row r="37" spans="2:15" x14ac:dyDescent="0.25">
      <c r="B37" s="393">
        <f t="shared" si="2"/>
        <v>1971</v>
      </c>
      <c r="C37" s="457">
        <f>Amnt_Deposited!J32*$D$8*(1-DOCF)*MSW!C40</f>
        <v>0</v>
      </c>
      <c r="D37" s="458">
        <f>Amnt_Deposited!C32*$F$8*(1-DOCF)*Food!D40</f>
        <v>61.765200000000007</v>
      </c>
      <c r="E37" s="459">
        <f>Amnt_Deposited!D32*$F$9*(1-DOCF)*Garden!D40</f>
        <v>0</v>
      </c>
      <c r="F37" s="459">
        <f>Amnt_Deposited!E32*$D$9*(1-DOCF)*Paper!D40</f>
        <v>119.28960000000001</v>
      </c>
      <c r="G37" s="459">
        <f>Amnt_Deposited!F32*$D$10*(1-DOCF)*Wood!D40</f>
        <v>44.118000000000002</v>
      </c>
      <c r="H37" s="459">
        <f>Amnt_Deposited!G32*$F$10*(1-DOCF)*Textiles!D40</f>
        <v>15.431040000000003</v>
      </c>
      <c r="I37" s="460">
        <f>Amnt_Deposited!H32*$H$8*(1-DOCF)*Nappies!D40</f>
        <v>0</v>
      </c>
      <c r="J37" s="461">
        <f>Amnt_Deposited!I32*$H$9*(1-DOCF)*Sludge!D40</f>
        <v>0</v>
      </c>
      <c r="K37" s="462">
        <f>Amnt_Deposited!L32*$H$10*(1-DOCF)*Industry!D40</f>
        <v>0</v>
      </c>
      <c r="L37" s="459">
        <f>Amnt_Deposited!L32*Parameters!$E$46*$D$9*(1-DOCF)*Industry!D40</f>
        <v>0</v>
      </c>
      <c r="M37" s="460">
        <f>Amnt_Deposited!L32*Parameters!$E$47*$D$10*(1-DOCF)*Industry!D40</f>
        <v>0</v>
      </c>
      <c r="N37" s="394">
        <f t="shared" si="0"/>
        <v>240.60383999999999</v>
      </c>
      <c r="O37" s="396">
        <f t="shared" si="1"/>
        <v>4090.2652799999987</v>
      </c>
    </row>
    <row r="38" spans="2:15" x14ac:dyDescent="0.25">
      <c r="B38" s="393">
        <f t="shared" si="2"/>
        <v>1972</v>
      </c>
      <c r="C38" s="457">
        <f>Amnt_Deposited!J33*$D$8*(1-DOCF)*MSW!C41</f>
        <v>0</v>
      </c>
      <c r="D38" s="458">
        <f>Amnt_Deposited!C33*$F$8*(1-DOCF)*Food!D41</f>
        <v>61.765200000000007</v>
      </c>
      <c r="E38" s="459">
        <f>Amnt_Deposited!D33*$F$9*(1-DOCF)*Garden!D41</f>
        <v>0</v>
      </c>
      <c r="F38" s="459">
        <f>Amnt_Deposited!E33*$D$9*(1-DOCF)*Paper!D41</f>
        <v>119.28960000000001</v>
      </c>
      <c r="G38" s="459">
        <f>Amnt_Deposited!F33*$D$10*(1-DOCF)*Wood!D41</f>
        <v>44.118000000000002</v>
      </c>
      <c r="H38" s="459">
        <f>Amnt_Deposited!G33*$F$10*(1-DOCF)*Textiles!D41</f>
        <v>15.431040000000003</v>
      </c>
      <c r="I38" s="460">
        <f>Amnt_Deposited!H33*$H$8*(1-DOCF)*Nappies!D41</f>
        <v>0</v>
      </c>
      <c r="J38" s="461">
        <f>Amnt_Deposited!I33*$H$9*(1-DOCF)*Sludge!D41</f>
        <v>0</v>
      </c>
      <c r="K38" s="462">
        <f>Amnt_Deposited!L33*$H$10*(1-DOCF)*Industry!D41</f>
        <v>0</v>
      </c>
      <c r="L38" s="459">
        <f>Amnt_Deposited!L33*Parameters!$E$46*$D$9*(1-DOCF)*Industry!D41</f>
        <v>0</v>
      </c>
      <c r="M38" s="460">
        <f>Amnt_Deposited!L33*Parameters!$E$47*$D$10*(1-DOCF)*Industry!D41</f>
        <v>0</v>
      </c>
      <c r="N38" s="394">
        <f t="shared" si="0"/>
        <v>240.60383999999999</v>
      </c>
      <c r="O38" s="396">
        <f t="shared" si="1"/>
        <v>4330.8691199999985</v>
      </c>
    </row>
    <row r="39" spans="2:15" x14ac:dyDescent="0.25">
      <c r="B39" s="393">
        <f t="shared" si="2"/>
        <v>1973</v>
      </c>
      <c r="C39" s="457">
        <f>Amnt_Deposited!J34*$D$8*(1-DOCF)*MSW!C42</f>
        <v>0</v>
      </c>
      <c r="D39" s="458">
        <f>Amnt_Deposited!C34*$F$8*(1-DOCF)*Food!D42</f>
        <v>61.765200000000007</v>
      </c>
      <c r="E39" s="459">
        <f>Amnt_Deposited!D34*$F$9*(1-DOCF)*Garden!D42</f>
        <v>0</v>
      </c>
      <c r="F39" s="459">
        <f>Amnt_Deposited!E34*$D$9*(1-DOCF)*Paper!D42</f>
        <v>119.28960000000001</v>
      </c>
      <c r="G39" s="459">
        <f>Amnt_Deposited!F34*$D$10*(1-DOCF)*Wood!D42</f>
        <v>44.118000000000002</v>
      </c>
      <c r="H39" s="459">
        <f>Amnt_Deposited!G34*$F$10*(1-DOCF)*Textiles!D42</f>
        <v>15.431040000000003</v>
      </c>
      <c r="I39" s="460">
        <f>Amnt_Deposited!H34*$H$8*(1-DOCF)*Nappies!D42</f>
        <v>0</v>
      </c>
      <c r="J39" s="461">
        <f>Amnt_Deposited!I34*$H$9*(1-DOCF)*Sludge!D42</f>
        <v>0</v>
      </c>
      <c r="K39" s="462">
        <f>Amnt_Deposited!L34*$H$10*(1-DOCF)*Industry!D42</f>
        <v>0</v>
      </c>
      <c r="L39" s="459">
        <f>Amnt_Deposited!L34*Parameters!$E$46*$D$9*(1-DOCF)*Industry!D42</f>
        <v>0</v>
      </c>
      <c r="M39" s="460">
        <f>Amnt_Deposited!L34*Parameters!$E$47*$D$10*(1-DOCF)*Industry!D42</f>
        <v>0</v>
      </c>
      <c r="N39" s="394">
        <f t="shared" si="0"/>
        <v>240.60383999999999</v>
      </c>
      <c r="O39" s="396">
        <f t="shared" si="1"/>
        <v>4571.4729599999982</v>
      </c>
    </row>
    <row r="40" spans="2:15" x14ac:dyDescent="0.25">
      <c r="B40" s="393">
        <f t="shared" si="2"/>
        <v>1974</v>
      </c>
      <c r="C40" s="457">
        <f>Amnt_Deposited!J35*$D$8*(1-DOCF)*MSW!C43</f>
        <v>0</v>
      </c>
      <c r="D40" s="458">
        <f>Amnt_Deposited!C35*$F$8*(1-DOCF)*Food!D43</f>
        <v>61.765200000000007</v>
      </c>
      <c r="E40" s="459">
        <f>Amnt_Deposited!D35*$F$9*(1-DOCF)*Garden!D43</f>
        <v>0</v>
      </c>
      <c r="F40" s="459">
        <f>Amnt_Deposited!E35*$D$9*(1-DOCF)*Paper!D43</f>
        <v>119.28960000000001</v>
      </c>
      <c r="G40" s="459">
        <f>Amnt_Deposited!F35*$D$10*(1-DOCF)*Wood!D43</f>
        <v>44.118000000000002</v>
      </c>
      <c r="H40" s="459">
        <f>Amnt_Deposited!G35*$F$10*(1-DOCF)*Textiles!D43</f>
        <v>15.431040000000003</v>
      </c>
      <c r="I40" s="460">
        <f>Amnt_Deposited!H35*$H$8*(1-DOCF)*Nappies!D43</f>
        <v>0</v>
      </c>
      <c r="J40" s="461">
        <f>Amnt_Deposited!I35*$H$9*(1-DOCF)*Sludge!D43</f>
        <v>0</v>
      </c>
      <c r="K40" s="462">
        <f>Amnt_Deposited!L35*$H$10*(1-DOCF)*Industry!D43</f>
        <v>0</v>
      </c>
      <c r="L40" s="459">
        <f>Amnt_Deposited!L35*Parameters!$E$46*$D$9*(1-DOCF)*Industry!D43</f>
        <v>0</v>
      </c>
      <c r="M40" s="460">
        <f>Amnt_Deposited!L35*Parameters!$E$47*$D$10*(1-DOCF)*Industry!D43</f>
        <v>0</v>
      </c>
      <c r="N40" s="394">
        <f t="shared" si="0"/>
        <v>240.60383999999999</v>
      </c>
      <c r="O40" s="396">
        <f t="shared" si="1"/>
        <v>4812.076799999998</v>
      </c>
    </row>
    <row r="41" spans="2:15" x14ac:dyDescent="0.25">
      <c r="B41" s="393">
        <f t="shared" si="2"/>
        <v>1975</v>
      </c>
      <c r="C41" s="457">
        <f>Amnt_Deposited!J36*$D$8*(1-DOCF)*MSW!C44</f>
        <v>0</v>
      </c>
      <c r="D41" s="458">
        <f>Amnt_Deposited!C36*$F$8*(1-DOCF)*Food!D44</f>
        <v>61.765200000000007</v>
      </c>
      <c r="E41" s="459">
        <f>Amnt_Deposited!D36*$F$9*(1-DOCF)*Garden!D44</f>
        <v>0</v>
      </c>
      <c r="F41" s="459">
        <f>Amnt_Deposited!E36*$D$9*(1-DOCF)*Paper!D44</f>
        <v>119.28960000000001</v>
      </c>
      <c r="G41" s="459">
        <f>Amnt_Deposited!F36*$D$10*(1-DOCF)*Wood!D44</f>
        <v>44.118000000000002</v>
      </c>
      <c r="H41" s="459">
        <f>Amnt_Deposited!G36*$F$10*(1-DOCF)*Textiles!D44</f>
        <v>15.431040000000003</v>
      </c>
      <c r="I41" s="460">
        <f>Amnt_Deposited!H36*$H$8*(1-DOCF)*Nappies!D44</f>
        <v>0</v>
      </c>
      <c r="J41" s="461">
        <f>Amnt_Deposited!I36*$H$9*(1-DOCF)*Sludge!D44</f>
        <v>0</v>
      </c>
      <c r="K41" s="462">
        <f>Amnt_Deposited!L36*$H$10*(1-DOCF)*Industry!D44</f>
        <v>0</v>
      </c>
      <c r="L41" s="459">
        <f>Amnt_Deposited!L36*Parameters!$E$46*$D$9*(1-DOCF)*Industry!D44</f>
        <v>0</v>
      </c>
      <c r="M41" s="460">
        <f>Amnt_Deposited!L36*Parameters!$E$47*$D$10*(1-DOCF)*Industry!D44</f>
        <v>0</v>
      </c>
      <c r="N41" s="394">
        <f t="shared" si="0"/>
        <v>240.60383999999999</v>
      </c>
      <c r="O41" s="396">
        <f t="shared" si="1"/>
        <v>5052.6806399999978</v>
      </c>
    </row>
    <row r="42" spans="2:15" x14ac:dyDescent="0.25">
      <c r="B42" s="393">
        <f t="shared" si="2"/>
        <v>1976</v>
      </c>
      <c r="C42" s="457">
        <f>Amnt_Deposited!J37*$D$8*(1-DOCF)*MSW!C45</f>
        <v>0</v>
      </c>
      <c r="D42" s="458">
        <f>Amnt_Deposited!C37*$F$8*(1-DOCF)*Food!D45</f>
        <v>61.765200000000007</v>
      </c>
      <c r="E42" s="459">
        <f>Amnt_Deposited!D37*$F$9*(1-DOCF)*Garden!D45</f>
        <v>0</v>
      </c>
      <c r="F42" s="459">
        <f>Amnt_Deposited!E37*$D$9*(1-DOCF)*Paper!D45</f>
        <v>119.28960000000001</v>
      </c>
      <c r="G42" s="459">
        <f>Amnt_Deposited!F37*$D$10*(1-DOCF)*Wood!D45</f>
        <v>44.118000000000002</v>
      </c>
      <c r="H42" s="459">
        <f>Amnt_Deposited!G37*$F$10*(1-DOCF)*Textiles!D45</f>
        <v>15.431040000000003</v>
      </c>
      <c r="I42" s="460">
        <f>Amnt_Deposited!H37*$H$8*(1-DOCF)*Nappies!D45</f>
        <v>0</v>
      </c>
      <c r="J42" s="461">
        <f>Amnt_Deposited!I37*$H$9*(1-DOCF)*Sludge!D45</f>
        <v>0</v>
      </c>
      <c r="K42" s="462">
        <f>Amnt_Deposited!L37*$H$10*(1-DOCF)*Industry!D45</f>
        <v>0</v>
      </c>
      <c r="L42" s="459">
        <f>Amnt_Deposited!L37*Parameters!$E$46*$D$9*(1-DOCF)*Industry!D45</f>
        <v>0</v>
      </c>
      <c r="M42" s="460">
        <f>Amnt_Deposited!L37*Parameters!$E$47*$D$10*(1-DOCF)*Industry!D45</f>
        <v>0</v>
      </c>
      <c r="N42" s="394">
        <f t="shared" si="0"/>
        <v>240.60383999999999</v>
      </c>
      <c r="O42" s="396">
        <f t="shared" si="1"/>
        <v>5293.2844799999975</v>
      </c>
    </row>
    <row r="43" spans="2:15" x14ac:dyDescent="0.25">
      <c r="B43" s="393">
        <f t="shared" si="2"/>
        <v>1977</v>
      </c>
      <c r="C43" s="457">
        <f>Amnt_Deposited!J38*$D$8*(1-DOCF)*MSW!C46</f>
        <v>0</v>
      </c>
      <c r="D43" s="458">
        <f>Amnt_Deposited!C38*$F$8*(1-DOCF)*Food!D46</f>
        <v>61.765200000000007</v>
      </c>
      <c r="E43" s="459">
        <f>Amnt_Deposited!D38*$F$9*(1-DOCF)*Garden!D46</f>
        <v>0</v>
      </c>
      <c r="F43" s="459">
        <f>Amnt_Deposited!E38*$D$9*(1-DOCF)*Paper!D46</f>
        <v>119.28960000000001</v>
      </c>
      <c r="G43" s="459">
        <f>Amnt_Deposited!F38*$D$10*(1-DOCF)*Wood!D46</f>
        <v>44.118000000000002</v>
      </c>
      <c r="H43" s="459">
        <f>Amnt_Deposited!G38*$F$10*(1-DOCF)*Textiles!D46</f>
        <v>15.431040000000003</v>
      </c>
      <c r="I43" s="460">
        <f>Amnt_Deposited!H38*$H$8*(1-DOCF)*Nappies!D46</f>
        <v>0</v>
      </c>
      <c r="J43" s="461">
        <f>Amnt_Deposited!I38*$H$9*(1-DOCF)*Sludge!D46</f>
        <v>0</v>
      </c>
      <c r="K43" s="462">
        <f>Amnt_Deposited!L38*$H$10*(1-DOCF)*Industry!D46</f>
        <v>0</v>
      </c>
      <c r="L43" s="459">
        <f>Amnt_Deposited!L38*Parameters!$E$46*$D$9*(1-DOCF)*Industry!D46</f>
        <v>0</v>
      </c>
      <c r="M43" s="460">
        <f>Amnt_Deposited!L38*Parameters!$E$47*$D$10*(1-DOCF)*Industry!D46</f>
        <v>0</v>
      </c>
      <c r="N43" s="394">
        <f t="shared" si="0"/>
        <v>240.60383999999999</v>
      </c>
      <c r="O43" s="396">
        <f t="shared" si="1"/>
        <v>5533.8883199999973</v>
      </c>
    </row>
    <row r="44" spans="2:15" x14ac:dyDescent="0.25">
      <c r="B44" s="393">
        <f t="shared" si="2"/>
        <v>1978</v>
      </c>
      <c r="C44" s="457">
        <f>Amnt_Deposited!J39*$D$8*(1-DOCF)*MSW!C47</f>
        <v>0</v>
      </c>
      <c r="D44" s="458">
        <f>Amnt_Deposited!C39*$F$8*(1-DOCF)*Food!D47</f>
        <v>61.765200000000007</v>
      </c>
      <c r="E44" s="459">
        <f>Amnt_Deposited!D39*$F$9*(1-DOCF)*Garden!D47</f>
        <v>0</v>
      </c>
      <c r="F44" s="459">
        <f>Amnt_Deposited!E39*$D$9*(1-DOCF)*Paper!D47</f>
        <v>119.28960000000001</v>
      </c>
      <c r="G44" s="459">
        <f>Amnt_Deposited!F39*$D$10*(1-DOCF)*Wood!D47</f>
        <v>44.118000000000002</v>
      </c>
      <c r="H44" s="459">
        <f>Amnt_Deposited!G39*$F$10*(1-DOCF)*Textiles!D47</f>
        <v>15.431040000000003</v>
      </c>
      <c r="I44" s="460">
        <f>Amnt_Deposited!H39*$H$8*(1-DOCF)*Nappies!D47</f>
        <v>0</v>
      </c>
      <c r="J44" s="461">
        <f>Amnt_Deposited!I39*$H$9*(1-DOCF)*Sludge!D47</f>
        <v>0</v>
      </c>
      <c r="K44" s="462">
        <f>Amnt_Deposited!L39*$H$10*(1-DOCF)*Industry!D47</f>
        <v>0</v>
      </c>
      <c r="L44" s="459">
        <f>Amnt_Deposited!L39*Parameters!$E$46*$D$9*(1-DOCF)*Industry!D47</f>
        <v>0</v>
      </c>
      <c r="M44" s="460">
        <f>Amnt_Deposited!L39*Parameters!$E$47*$D$10*(1-DOCF)*Industry!D47</f>
        <v>0</v>
      </c>
      <c r="N44" s="394">
        <f t="shared" si="0"/>
        <v>240.60383999999999</v>
      </c>
      <c r="O44" s="396">
        <f t="shared" si="1"/>
        <v>5774.4921599999971</v>
      </c>
    </row>
    <row r="45" spans="2:15" x14ac:dyDescent="0.25">
      <c r="B45" s="393">
        <f t="shared" si="2"/>
        <v>1979</v>
      </c>
      <c r="C45" s="457">
        <f>Amnt_Deposited!J40*$D$8*(1-DOCF)*MSW!C48</f>
        <v>0</v>
      </c>
      <c r="D45" s="458">
        <f>Amnt_Deposited!C40*$F$8*(1-DOCF)*Food!D48</f>
        <v>61.765200000000007</v>
      </c>
      <c r="E45" s="459">
        <f>Amnt_Deposited!D40*$F$9*(1-DOCF)*Garden!D48</f>
        <v>0</v>
      </c>
      <c r="F45" s="459">
        <f>Amnt_Deposited!E40*$D$9*(1-DOCF)*Paper!D48</f>
        <v>119.28960000000001</v>
      </c>
      <c r="G45" s="459">
        <f>Amnt_Deposited!F40*$D$10*(1-DOCF)*Wood!D48</f>
        <v>44.118000000000002</v>
      </c>
      <c r="H45" s="459">
        <f>Amnt_Deposited!G40*$F$10*(1-DOCF)*Textiles!D48</f>
        <v>15.431040000000003</v>
      </c>
      <c r="I45" s="460">
        <f>Amnt_Deposited!H40*$H$8*(1-DOCF)*Nappies!D48</f>
        <v>0</v>
      </c>
      <c r="J45" s="461">
        <f>Amnt_Deposited!I40*$H$9*(1-DOCF)*Sludge!D48</f>
        <v>0</v>
      </c>
      <c r="K45" s="462">
        <f>Amnt_Deposited!L40*$H$10*(1-DOCF)*Industry!D48</f>
        <v>0</v>
      </c>
      <c r="L45" s="459">
        <f>Amnt_Deposited!L40*Parameters!$E$46*$D$9*(1-DOCF)*Industry!D48</f>
        <v>0</v>
      </c>
      <c r="M45" s="460">
        <f>Amnt_Deposited!L40*Parameters!$E$47*$D$10*(1-DOCF)*Industry!D48</f>
        <v>0</v>
      </c>
      <c r="N45" s="394">
        <f t="shared" si="0"/>
        <v>240.60383999999999</v>
      </c>
      <c r="O45" s="396">
        <f t="shared" si="1"/>
        <v>6015.0959999999968</v>
      </c>
    </row>
    <row r="46" spans="2:15" x14ac:dyDescent="0.25">
      <c r="B46" s="393">
        <f t="shared" si="2"/>
        <v>1980</v>
      </c>
      <c r="C46" s="457">
        <f>Amnt_Deposited!J41*$D$8*(1-DOCF)*MSW!C49</f>
        <v>0</v>
      </c>
      <c r="D46" s="458">
        <f>Amnt_Deposited!C41*$F$8*(1-DOCF)*Food!D49</f>
        <v>69.485850000000013</v>
      </c>
      <c r="E46" s="459">
        <f>Amnt_Deposited!D41*$F$9*(1-DOCF)*Garden!D49</f>
        <v>0</v>
      </c>
      <c r="F46" s="459">
        <f>Amnt_Deposited!E41*$D$9*(1-DOCF)*Paper!D49</f>
        <v>134.20079999999999</v>
      </c>
      <c r="G46" s="459">
        <f>Amnt_Deposited!F41*$D$10*(1-DOCF)*Wood!D49</f>
        <v>49.632750000000001</v>
      </c>
      <c r="H46" s="459">
        <f>Amnt_Deposited!G41*$F$10*(1-DOCF)*Textiles!D49</f>
        <v>17.359920000000002</v>
      </c>
      <c r="I46" s="460">
        <f>Amnt_Deposited!H41*$H$8*(1-DOCF)*Nappies!D49</f>
        <v>0</v>
      </c>
      <c r="J46" s="461">
        <f>Amnt_Deposited!I41*$H$9*(1-DOCF)*Sludge!D49</f>
        <v>0</v>
      </c>
      <c r="K46" s="462">
        <f>Amnt_Deposited!L41*$H$10*(1-DOCF)*Industry!D49</f>
        <v>0</v>
      </c>
      <c r="L46" s="459">
        <f>Amnt_Deposited!L41*Parameters!$E$46*$D$9*(1-DOCF)*Industry!D49</f>
        <v>0</v>
      </c>
      <c r="M46" s="460">
        <f>Amnt_Deposited!L41*Parameters!$E$47*$D$10*(1-DOCF)*Industry!D49</f>
        <v>0</v>
      </c>
      <c r="N46" s="394">
        <f t="shared" si="0"/>
        <v>270.67931999999996</v>
      </c>
      <c r="O46" s="396">
        <f t="shared" si="1"/>
        <v>6285.775319999997</v>
      </c>
    </row>
    <row r="47" spans="2:15" x14ac:dyDescent="0.25">
      <c r="B47" s="393">
        <f t="shared" si="2"/>
        <v>1981</v>
      </c>
      <c r="C47" s="457">
        <f>Amnt_Deposited!J42*$D$8*(1-DOCF)*MSW!C50</f>
        <v>0</v>
      </c>
      <c r="D47" s="458">
        <f>Amnt_Deposited!C42*$F$8*(1-DOCF)*Food!D50</f>
        <v>69.485850000000013</v>
      </c>
      <c r="E47" s="459">
        <f>Amnt_Deposited!D42*$F$9*(1-DOCF)*Garden!D50</f>
        <v>0</v>
      </c>
      <c r="F47" s="459">
        <f>Amnt_Deposited!E42*$D$9*(1-DOCF)*Paper!D50</f>
        <v>134.20079999999999</v>
      </c>
      <c r="G47" s="459">
        <f>Amnt_Deposited!F42*$D$10*(1-DOCF)*Wood!D50</f>
        <v>49.632750000000001</v>
      </c>
      <c r="H47" s="459">
        <f>Amnt_Deposited!G42*$F$10*(1-DOCF)*Textiles!D50</f>
        <v>17.359920000000002</v>
      </c>
      <c r="I47" s="460">
        <f>Amnt_Deposited!H42*$H$8*(1-DOCF)*Nappies!D50</f>
        <v>0</v>
      </c>
      <c r="J47" s="461">
        <f>Amnt_Deposited!I42*$H$9*(1-DOCF)*Sludge!D50</f>
        <v>0</v>
      </c>
      <c r="K47" s="462">
        <f>Amnt_Deposited!L42*$H$10*(1-DOCF)*Industry!D50</f>
        <v>0</v>
      </c>
      <c r="L47" s="459">
        <f>Amnt_Deposited!L42*Parameters!$E$46*$D$9*(1-DOCF)*Industry!D50</f>
        <v>0</v>
      </c>
      <c r="M47" s="460">
        <f>Amnt_Deposited!L42*Parameters!$E$47*$D$10*(1-DOCF)*Industry!D50</f>
        <v>0</v>
      </c>
      <c r="N47" s="394">
        <f t="shared" si="0"/>
        <v>270.67931999999996</v>
      </c>
      <c r="O47" s="396">
        <f t="shared" si="1"/>
        <v>6556.4546399999972</v>
      </c>
    </row>
    <row r="48" spans="2:15" x14ac:dyDescent="0.25">
      <c r="B48" s="393">
        <f t="shared" si="2"/>
        <v>1982</v>
      </c>
      <c r="C48" s="457">
        <f>Amnt_Deposited!J43*$D$8*(1-DOCF)*MSW!C51</f>
        <v>0</v>
      </c>
      <c r="D48" s="458">
        <f>Amnt_Deposited!C43*$F$8*(1-DOCF)*Food!D51</f>
        <v>69.485850000000013</v>
      </c>
      <c r="E48" s="459">
        <f>Amnt_Deposited!D43*$F$9*(1-DOCF)*Garden!D51</f>
        <v>0</v>
      </c>
      <c r="F48" s="459">
        <f>Amnt_Deposited!E43*$D$9*(1-DOCF)*Paper!D51</f>
        <v>134.20079999999999</v>
      </c>
      <c r="G48" s="459">
        <f>Amnt_Deposited!F43*$D$10*(1-DOCF)*Wood!D51</f>
        <v>49.632750000000001</v>
      </c>
      <c r="H48" s="459">
        <f>Amnt_Deposited!G43*$F$10*(1-DOCF)*Textiles!D51</f>
        <v>17.359920000000002</v>
      </c>
      <c r="I48" s="460">
        <f>Amnt_Deposited!H43*$H$8*(1-DOCF)*Nappies!D51</f>
        <v>0</v>
      </c>
      <c r="J48" s="461">
        <f>Amnt_Deposited!I43*$H$9*(1-DOCF)*Sludge!D51</f>
        <v>0</v>
      </c>
      <c r="K48" s="462">
        <f>Amnt_Deposited!L43*$H$10*(1-DOCF)*Industry!D51</f>
        <v>0</v>
      </c>
      <c r="L48" s="459">
        <f>Amnt_Deposited!L43*Parameters!$E$46*$D$9*(1-DOCF)*Industry!D51</f>
        <v>0</v>
      </c>
      <c r="M48" s="460">
        <f>Amnt_Deposited!L43*Parameters!$E$47*$D$10*(1-DOCF)*Industry!D51</f>
        <v>0</v>
      </c>
      <c r="N48" s="394">
        <f t="shared" ref="N48:N79" si="3">IF(Select2=2,C48+J48+K48, D48+E48+F48+G48+H48+I48+J48+K48)</f>
        <v>270.67931999999996</v>
      </c>
      <c r="O48" s="396">
        <f t="shared" si="1"/>
        <v>6827.1339599999974</v>
      </c>
    </row>
    <row r="49" spans="2:15" x14ac:dyDescent="0.25">
      <c r="B49" s="393">
        <f t="shared" si="2"/>
        <v>1983</v>
      </c>
      <c r="C49" s="457">
        <f>Amnt_Deposited!J44*$D$8*(1-DOCF)*MSW!C52</f>
        <v>0</v>
      </c>
      <c r="D49" s="458">
        <f>Amnt_Deposited!C44*$F$8*(1-DOCF)*Food!D52</f>
        <v>69.485850000000013</v>
      </c>
      <c r="E49" s="459">
        <f>Amnt_Deposited!D44*$F$9*(1-DOCF)*Garden!D52</f>
        <v>0</v>
      </c>
      <c r="F49" s="459">
        <f>Amnt_Deposited!E44*$D$9*(1-DOCF)*Paper!D52</f>
        <v>134.20079999999999</v>
      </c>
      <c r="G49" s="459">
        <f>Amnt_Deposited!F44*$D$10*(1-DOCF)*Wood!D52</f>
        <v>49.632750000000001</v>
      </c>
      <c r="H49" s="459">
        <f>Amnt_Deposited!G44*$F$10*(1-DOCF)*Textiles!D52</f>
        <v>17.359920000000002</v>
      </c>
      <c r="I49" s="460">
        <f>Amnt_Deposited!H44*$H$8*(1-DOCF)*Nappies!D52</f>
        <v>0</v>
      </c>
      <c r="J49" s="461">
        <f>Amnt_Deposited!I44*$H$9*(1-DOCF)*Sludge!D52</f>
        <v>0</v>
      </c>
      <c r="K49" s="462">
        <f>Amnt_Deposited!L44*$H$10*(1-DOCF)*Industry!D52</f>
        <v>0</v>
      </c>
      <c r="L49" s="459">
        <f>Amnt_Deposited!L44*Parameters!$E$46*$D$9*(1-DOCF)*Industry!D52</f>
        <v>0</v>
      </c>
      <c r="M49" s="460">
        <f>Amnt_Deposited!L44*Parameters!$E$47*$D$10*(1-DOCF)*Industry!D52</f>
        <v>0</v>
      </c>
      <c r="N49" s="394">
        <f t="shared" si="3"/>
        <v>270.67931999999996</v>
      </c>
      <c r="O49" s="396">
        <f t="shared" si="1"/>
        <v>7097.8132799999976</v>
      </c>
    </row>
    <row r="50" spans="2:15" x14ac:dyDescent="0.25">
      <c r="B50" s="393">
        <f t="shared" si="2"/>
        <v>1984</v>
      </c>
      <c r="C50" s="457">
        <f>Amnt_Deposited!J45*$D$8*(1-DOCF)*MSW!C53</f>
        <v>0</v>
      </c>
      <c r="D50" s="458">
        <f>Amnt_Deposited!C45*$F$8*(1-DOCF)*Food!D53</f>
        <v>69.485850000000013</v>
      </c>
      <c r="E50" s="459">
        <f>Amnt_Deposited!D45*$F$9*(1-DOCF)*Garden!D53</f>
        <v>0</v>
      </c>
      <c r="F50" s="459">
        <f>Amnt_Deposited!E45*$D$9*(1-DOCF)*Paper!D53</f>
        <v>134.20079999999999</v>
      </c>
      <c r="G50" s="459">
        <f>Amnt_Deposited!F45*$D$10*(1-DOCF)*Wood!D53</f>
        <v>49.632750000000001</v>
      </c>
      <c r="H50" s="459">
        <f>Amnt_Deposited!G45*$F$10*(1-DOCF)*Textiles!D53</f>
        <v>17.359920000000002</v>
      </c>
      <c r="I50" s="460">
        <f>Amnt_Deposited!H45*$H$8*(1-DOCF)*Nappies!D53</f>
        <v>0</v>
      </c>
      <c r="J50" s="461">
        <f>Amnt_Deposited!I45*$H$9*(1-DOCF)*Sludge!D53</f>
        <v>0</v>
      </c>
      <c r="K50" s="462">
        <f>Amnt_Deposited!L45*$H$10*(1-DOCF)*Industry!D53</f>
        <v>0</v>
      </c>
      <c r="L50" s="459">
        <f>Amnt_Deposited!L45*Parameters!$E$46*$D$9*(1-DOCF)*Industry!D53</f>
        <v>0</v>
      </c>
      <c r="M50" s="460">
        <f>Amnt_Deposited!L45*Parameters!$E$47*$D$10*(1-DOCF)*Industry!D53</f>
        <v>0</v>
      </c>
      <c r="N50" s="394">
        <f t="shared" si="3"/>
        <v>270.67931999999996</v>
      </c>
      <c r="O50" s="396">
        <f t="shared" si="1"/>
        <v>7368.4925999999978</v>
      </c>
    </row>
    <row r="51" spans="2:15" x14ac:dyDescent="0.25">
      <c r="B51" s="393">
        <f t="shared" si="2"/>
        <v>1985</v>
      </c>
      <c r="C51" s="457">
        <f>Amnt_Deposited!J46*$D$8*(1-DOCF)*MSW!C54</f>
        <v>0</v>
      </c>
      <c r="D51" s="458">
        <f>Amnt_Deposited!C46*$F$8*(1-DOCF)*Food!D54</f>
        <v>69.485850000000013</v>
      </c>
      <c r="E51" s="459">
        <f>Amnt_Deposited!D46*$F$9*(1-DOCF)*Garden!D54</f>
        <v>0</v>
      </c>
      <c r="F51" s="459">
        <f>Amnt_Deposited!E46*$D$9*(1-DOCF)*Paper!D54</f>
        <v>134.20079999999999</v>
      </c>
      <c r="G51" s="459">
        <f>Amnt_Deposited!F46*$D$10*(1-DOCF)*Wood!D54</f>
        <v>49.632750000000001</v>
      </c>
      <c r="H51" s="459">
        <f>Amnt_Deposited!G46*$F$10*(1-DOCF)*Textiles!D54</f>
        <v>17.359920000000002</v>
      </c>
      <c r="I51" s="460">
        <f>Amnt_Deposited!H46*$H$8*(1-DOCF)*Nappies!D54</f>
        <v>0</v>
      </c>
      <c r="J51" s="461">
        <f>Amnt_Deposited!I46*$H$9*(1-DOCF)*Sludge!D54</f>
        <v>0</v>
      </c>
      <c r="K51" s="462">
        <f>Amnt_Deposited!L46*$H$10*(1-DOCF)*Industry!D54</f>
        <v>0</v>
      </c>
      <c r="L51" s="459">
        <f>Amnt_Deposited!L46*Parameters!$E$46*$D$9*(1-DOCF)*Industry!D54</f>
        <v>0</v>
      </c>
      <c r="M51" s="460">
        <f>Amnt_Deposited!L46*Parameters!$E$47*$D$10*(1-DOCF)*Industry!D54</f>
        <v>0</v>
      </c>
      <c r="N51" s="394">
        <f t="shared" si="3"/>
        <v>270.67931999999996</v>
      </c>
      <c r="O51" s="396">
        <f t="shared" si="1"/>
        <v>7639.171919999998</v>
      </c>
    </row>
    <row r="52" spans="2:15" x14ac:dyDescent="0.25">
      <c r="B52" s="393">
        <f t="shared" si="2"/>
        <v>1986</v>
      </c>
      <c r="C52" s="457">
        <f>Amnt_Deposited!J47*$D$8*(1-DOCF)*MSW!C55</f>
        <v>0</v>
      </c>
      <c r="D52" s="458">
        <f>Amnt_Deposited!C47*$F$8*(1-DOCF)*Food!D55</f>
        <v>69.485850000000013</v>
      </c>
      <c r="E52" s="459">
        <f>Amnt_Deposited!D47*$F$9*(1-DOCF)*Garden!D55</f>
        <v>0</v>
      </c>
      <c r="F52" s="459">
        <f>Amnt_Deposited!E47*$D$9*(1-DOCF)*Paper!D55</f>
        <v>134.20079999999999</v>
      </c>
      <c r="G52" s="459">
        <f>Amnt_Deposited!F47*$D$10*(1-DOCF)*Wood!D55</f>
        <v>49.632750000000001</v>
      </c>
      <c r="H52" s="459">
        <f>Amnt_Deposited!G47*$F$10*(1-DOCF)*Textiles!D55</f>
        <v>17.359920000000002</v>
      </c>
      <c r="I52" s="460">
        <f>Amnt_Deposited!H47*$H$8*(1-DOCF)*Nappies!D55</f>
        <v>0</v>
      </c>
      <c r="J52" s="461">
        <f>Amnt_Deposited!I47*$H$9*(1-DOCF)*Sludge!D55</f>
        <v>0</v>
      </c>
      <c r="K52" s="462">
        <f>Amnt_Deposited!L47*$H$10*(1-DOCF)*Industry!D55</f>
        <v>0</v>
      </c>
      <c r="L52" s="459">
        <f>Amnt_Deposited!L47*Parameters!$E$46*$D$9*(1-DOCF)*Industry!D55</f>
        <v>0</v>
      </c>
      <c r="M52" s="460">
        <f>Amnt_Deposited!L47*Parameters!$E$47*$D$10*(1-DOCF)*Industry!D55</f>
        <v>0</v>
      </c>
      <c r="N52" s="394">
        <f t="shared" si="3"/>
        <v>270.67931999999996</v>
      </c>
      <c r="O52" s="396">
        <f t="shared" si="1"/>
        <v>7909.8512399999981</v>
      </c>
    </row>
    <row r="53" spans="2:15" x14ac:dyDescent="0.25">
      <c r="B53" s="393">
        <f t="shared" si="2"/>
        <v>1987</v>
      </c>
      <c r="C53" s="457">
        <f>Amnt_Deposited!J48*$D$8*(1-DOCF)*MSW!C56</f>
        <v>0</v>
      </c>
      <c r="D53" s="458">
        <f>Amnt_Deposited!C48*$F$8*(1-DOCF)*Food!D56</f>
        <v>69.485850000000013</v>
      </c>
      <c r="E53" s="459">
        <f>Amnt_Deposited!D48*$F$9*(1-DOCF)*Garden!D56</f>
        <v>0</v>
      </c>
      <c r="F53" s="459">
        <f>Amnt_Deposited!E48*$D$9*(1-DOCF)*Paper!D56</f>
        <v>134.20079999999999</v>
      </c>
      <c r="G53" s="459">
        <f>Amnt_Deposited!F48*$D$10*(1-DOCF)*Wood!D56</f>
        <v>49.632750000000001</v>
      </c>
      <c r="H53" s="459">
        <f>Amnt_Deposited!G48*$F$10*(1-DOCF)*Textiles!D56</f>
        <v>17.359920000000002</v>
      </c>
      <c r="I53" s="460">
        <f>Amnt_Deposited!H48*$H$8*(1-DOCF)*Nappies!D56</f>
        <v>0</v>
      </c>
      <c r="J53" s="461">
        <f>Amnt_Deposited!I48*$H$9*(1-DOCF)*Sludge!D56</f>
        <v>0</v>
      </c>
      <c r="K53" s="462">
        <f>Amnt_Deposited!L48*$H$10*(1-DOCF)*Industry!D56</f>
        <v>0</v>
      </c>
      <c r="L53" s="459">
        <f>Amnt_Deposited!L48*Parameters!$E$46*$D$9*(1-DOCF)*Industry!D56</f>
        <v>0</v>
      </c>
      <c r="M53" s="460">
        <f>Amnt_Deposited!L48*Parameters!$E$47*$D$10*(1-DOCF)*Industry!D56</f>
        <v>0</v>
      </c>
      <c r="N53" s="394">
        <f t="shared" si="3"/>
        <v>270.67931999999996</v>
      </c>
      <c r="O53" s="396">
        <f t="shared" si="1"/>
        <v>8180.5305599999983</v>
      </c>
    </row>
    <row r="54" spans="2:15" x14ac:dyDescent="0.25">
      <c r="B54" s="393">
        <f t="shared" si="2"/>
        <v>1988</v>
      </c>
      <c r="C54" s="457">
        <f>Amnt_Deposited!J49*$D$8*(1-DOCF)*MSW!C57</f>
        <v>0</v>
      </c>
      <c r="D54" s="458">
        <f>Amnt_Deposited!C49*$F$8*(1-DOCF)*Food!D57</f>
        <v>69.485850000000013</v>
      </c>
      <c r="E54" s="459">
        <f>Amnt_Deposited!D49*$F$9*(1-DOCF)*Garden!D57</f>
        <v>0</v>
      </c>
      <c r="F54" s="459">
        <f>Amnt_Deposited!E49*$D$9*(1-DOCF)*Paper!D57</f>
        <v>134.20079999999999</v>
      </c>
      <c r="G54" s="459">
        <f>Amnt_Deposited!F49*$D$10*(1-DOCF)*Wood!D57</f>
        <v>49.632750000000001</v>
      </c>
      <c r="H54" s="459">
        <f>Amnt_Deposited!G49*$F$10*(1-DOCF)*Textiles!D57</f>
        <v>17.359920000000002</v>
      </c>
      <c r="I54" s="460">
        <f>Amnt_Deposited!H49*$H$8*(1-DOCF)*Nappies!D57</f>
        <v>0</v>
      </c>
      <c r="J54" s="461">
        <f>Amnt_Deposited!I49*$H$9*(1-DOCF)*Sludge!D57</f>
        <v>0</v>
      </c>
      <c r="K54" s="462">
        <f>Amnt_Deposited!L49*$H$10*(1-DOCF)*Industry!D57</f>
        <v>0</v>
      </c>
      <c r="L54" s="459">
        <f>Amnt_Deposited!L49*Parameters!$E$46*$D$9*(1-DOCF)*Industry!D57</f>
        <v>0</v>
      </c>
      <c r="M54" s="460">
        <f>Amnt_Deposited!L49*Parameters!$E$47*$D$10*(1-DOCF)*Industry!D57</f>
        <v>0</v>
      </c>
      <c r="N54" s="394">
        <f t="shared" si="3"/>
        <v>270.67931999999996</v>
      </c>
      <c r="O54" s="396">
        <f t="shared" si="1"/>
        <v>8451.2098799999985</v>
      </c>
    </row>
    <row r="55" spans="2:15" x14ac:dyDescent="0.25">
      <c r="B55" s="393">
        <f t="shared" si="2"/>
        <v>1989</v>
      </c>
      <c r="C55" s="457">
        <f>Amnt_Deposited!J50*$D$8*(1-DOCF)*MSW!C58</f>
        <v>0</v>
      </c>
      <c r="D55" s="458">
        <f>Amnt_Deposited!C50*$F$8*(1-DOCF)*Food!D58</f>
        <v>69.485850000000013</v>
      </c>
      <c r="E55" s="459">
        <f>Amnt_Deposited!D50*$F$9*(1-DOCF)*Garden!D58</f>
        <v>0</v>
      </c>
      <c r="F55" s="459">
        <f>Amnt_Deposited!E50*$D$9*(1-DOCF)*Paper!D58</f>
        <v>134.20079999999999</v>
      </c>
      <c r="G55" s="459">
        <f>Amnt_Deposited!F50*$D$10*(1-DOCF)*Wood!D58</f>
        <v>49.632750000000001</v>
      </c>
      <c r="H55" s="459">
        <f>Amnt_Deposited!G50*$F$10*(1-DOCF)*Textiles!D58</f>
        <v>17.359920000000002</v>
      </c>
      <c r="I55" s="460">
        <f>Amnt_Deposited!H50*$H$8*(1-DOCF)*Nappies!D58</f>
        <v>0</v>
      </c>
      <c r="J55" s="461">
        <f>Amnt_Deposited!I50*$H$9*(1-DOCF)*Sludge!D58</f>
        <v>0</v>
      </c>
      <c r="K55" s="462">
        <f>Amnt_Deposited!L50*$H$10*(1-DOCF)*Industry!D58</f>
        <v>0</v>
      </c>
      <c r="L55" s="459">
        <f>Amnt_Deposited!L50*Parameters!$E$46*$D$9*(1-DOCF)*Industry!D58</f>
        <v>0</v>
      </c>
      <c r="M55" s="460">
        <f>Amnt_Deposited!L50*Parameters!$E$47*$D$10*(1-DOCF)*Industry!D58</f>
        <v>0</v>
      </c>
      <c r="N55" s="394">
        <f t="shared" si="3"/>
        <v>270.67931999999996</v>
      </c>
      <c r="O55" s="396">
        <f t="shared" si="1"/>
        <v>8721.8891999999978</v>
      </c>
    </row>
    <row r="56" spans="2:15" x14ac:dyDescent="0.25">
      <c r="B56" s="393">
        <f t="shared" si="2"/>
        <v>1990</v>
      </c>
      <c r="C56" s="457">
        <f>Amnt_Deposited!J51*$D$8*(1-DOCF)*MSW!C59</f>
        <v>0</v>
      </c>
      <c r="D56" s="458">
        <f>Amnt_Deposited!C51*$F$8*(1-DOCF)*Food!D59</f>
        <v>77.206500000000005</v>
      </c>
      <c r="E56" s="459">
        <f>Amnt_Deposited!D51*$F$9*(1-DOCF)*Garden!D59</f>
        <v>0</v>
      </c>
      <c r="F56" s="459">
        <f>Amnt_Deposited!E51*$D$9*(1-DOCF)*Paper!D59</f>
        <v>149.11199999999999</v>
      </c>
      <c r="G56" s="459">
        <f>Amnt_Deposited!F51*$D$10*(1-DOCF)*Wood!D59</f>
        <v>55.147500000000001</v>
      </c>
      <c r="H56" s="459">
        <f>Amnt_Deposited!G51*$F$10*(1-DOCF)*Textiles!D59</f>
        <v>19.288800000000002</v>
      </c>
      <c r="I56" s="460">
        <f>Amnt_Deposited!H51*$H$8*(1-DOCF)*Nappies!D59</f>
        <v>0</v>
      </c>
      <c r="J56" s="461">
        <f>Amnt_Deposited!I51*$H$9*(1-DOCF)*Sludge!D59</f>
        <v>0</v>
      </c>
      <c r="K56" s="462">
        <f>Amnt_Deposited!L51*$H$10*(1-DOCF)*Industry!D59</f>
        <v>0</v>
      </c>
      <c r="L56" s="459">
        <f>Amnt_Deposited!L51*Parameters!$E$46*$D$9*(1-DOCF)*Industry!D59</f>
        <v>0</v>
      </c>
      <c r="M56" s="460">
        <f>Amnt_Deposited!L51*Parameters!$E$47*$D$10*(1-DOCF)*Industry!D59</f>
        <v>0</v>
      </c>
      <c r="N56" s="394">
        <f t="shared" si="3"/>
        <v>300.75479999999999</v>
      </c>
      <c r="O56" s="396">
        <f t="shared" si="1"/>
        <v>9022.6439999999984</v>
      </c>
    </row>
    <row r="57" spans="2:15" x14ac:dyDescent="0.25">
      <c r="B57" s="393">
        <f t="shared" si="2"/>
        <v>1991</v>
      </c>
      <c r="C57" s="457">
        <f>Amnt_Deposited!J52*$D$8*(1-DOCF)*MSW!C60</f>
        <v>0</v>
      </c>
      <c r="D57" s="458">
        <f>Amnt_Deposited!C52*$F$8*(1-DOCF)*Food!D60</f>
        <v>48.1727925</v>
      </c>
      <c r="E57" s="459">
        <f>Amnt_Deposited!D52*$F$9*(1-DOCF)*Garden!D60</f>
        <v>0</v>
      </c>
      <c r="F57" s="459">
        <f>Amnt_Deposited!E52*$D$9*(1-DOCF)*Paper!D60</f>
        <v>93.038040000000009</v>
      </c>
      <c r="G57" s="459">
        <f>Amnt_Deposited!F52*$D$10*(1-DOCF)*Wood!D60</f>
        <v>34.4091375</v>
      </c>
      <c r="H57" s="459">
        <f>Amnt_Deposited!G52*$F$10*(1-DOCF)*Textiles!D60</f>
        <v>12.035195999999999</v>
      </c>
      <c r="I57" s="460">
        <f>Amnt_Deposited!H52*$H$8*(1-DOCF)*Nappies!D60</f>
        <v>0</v>
      </c>
      <c r="J57" s="461">
        <f>Amnt_Deposited!I52*$H$9*(1-DOCF)*Sludge!D60</f>
        <v>0</v>
      </c>
      <c r="K57" s="462">
        <f>Amnt_Deposited!L52*$H$10*(1-DOCF)*Industry!D60</f>
        <v>0</v>
      </c>
      <c r="L57" s="459">
        <f>Amnt_Deposited!L52*Parameters!$E$46*$D$9*(1-DOCF)*Industry!D60</f>
        <v>0</v>
      </c>
      <c r="M57" s="460">
        <f>Amnt_Deposited!L52*Parameters!$E$47*$D$10*(1-DOCF)*Industry!D60</f>
        <v>0</v>
      </c>
      <c r="N57" s="394">
        <f t="shared" si="3"/>
        <v>187.65516600000001</v>
      </c>
      <c r="O57" s="396">
        <f t="shared" si="1"/>
        <v>9210.2991659999989</v>
      </c>
    </row>
    <row r="58" spans="2:15" x14ac:dyDescent="0.25">
      <c r="B58" s="393">
        <f t="shared" si="2"/>
        <v>1992</v>
      </c>
      <c r="C58" s="457">
        <f>Amnt_Deposited!J53*$D$8*(1-DOCF)*MSW!C61</f>
        <v>0</v>
      </c>
      <c r="D58" s="458">
        <f>Amnt_Deposited!C53*$F$8*(1-DOCF)*Food!D61</f>
        <v>48.518190000000004</v>
      </c>
      <c r="E58" s="459">
        <f>Amnt_Deposited!D53*$F$9*(1-DOCF)*Garden!D61</f>
        <v>0</v>
      </c>
      <c r="F58" s="459">
        <f>Amnt_Deposited!E53*$D$9*(1-DOCF)*Paper!D61</f>
        <v>93.705120000000022</v>
      </c>
      <c r="G58" s="459">
        <f>Amnt_Deposited!F53*$D$10*(1-DOCF)*Wood!D61</f>
        <v>34.655850000000008</v>
      </c>
      <c r="H58" s="459">
        <f>Amnt_Deposited!G53*$F$10*(1-DOCF)*Textiles!D61</f>
        <v>12.121488000000001</v>
      </c>
      <c r="I58" s="460">
        <f>Amnt_Deposited!H53*$H$8*(1-DOCF)*Nappies!D61</f>
        <v>0</v>
      </c>
      <c r="J58" s="461">
        <f>Amnt_Deposited!I53*$H$9*(1-DOCF)*Sludge!D61</f>
        <v>0</v>
      </c>
      <c r="K58" s="462">
        <f>Amnt_Deposited!L53*$H$10*(1-DOCF)*Industry!D61</f>
        <v>0</v>
      </c>
      <c r="L58" s="459">
        <f>Amnt_Deposited!L53*Parameters!$E$46*$D$9*(1-DOCF)*Industry!D61</f>
        <v>0</v>
      </c>
      <c r="M58" s="460">
        <f>Amnt_Deposited!L53*Parameters!$E$47*$D$10*(1-DOCF)*Industry!D61</f>
        <v>0</v>
      </c>
      <c r="N58" s="394">
        <f t="shared" si="3"/>
        <v>189.00064800000004</v>
      </c>
      <c r="O58" s="396">
        <f t="shared" si="1"/>
        <v>9399.2998139999982</v>
      </c>
    </row>
    <row r="59" spans="2:15" x14ac:dyDescent="0.25">
      <c r="B59" s="393">
        <f t="shared" si="2"/>
        <v>1993</v>
      </c>
      <c r="C59" s="457">
        <f>Amnt_Deposited!J54*$D$8*(1-DOCF)*MSW!C62</f>
        <v>0</v>
      </c>
      <c r="D59" s="458">
        <f>Amnt_Deposited!C54*$F$8*(1-DOCF)*Food!D62</f>
        <v>50.468669999999996</v>
      </c>
      <c r="E59" s="459">
        <f>Amnt_Deposited!D54*$F$9*(1-DOCF)*Garden!D62</f>
        <v>0</v>
      </c>
      <c r="F59" s="459">
        <f>Amnt_Deposited!E54*$D$9*(1-DOCF)*Paper!D62</f>
        <v>97.472160000000002</v>
      </c>
      <c r="G59" s="459">
        <f>Amnt_Deposited!F54*$D$10*(1-DOCF)*Wood!D62</f>
        <v>36.049049999999994</v>
      </c>
      <c r="H59" s="459">
        <f>Amnt_Deposited!G54*$F$10*(1-DOCF)*Textiles!D62</f>
        <v>12.608784</v>
      </c>
      <c r="I59" s="460">
        <f>Amnt_Deposited!H54*$H$8*(1-DOCF)*Nappies!D62</f>
        <v>0</v>
      </c>
      <c r="J59" s="461">
        <f>Amnt_Deposited!I54*$H$9*(1-DOCF)*Sludge!D62</f>
        <v>0</v>
      </c>
      <c r="K59" s="462">
        <f>Amnt_Deposited!L54*$H$10*(1-DOCF)*Industry!D62</f>
        <v>0</v>
      </c>
      <c r="L59" s="459">
        <f>Amnt_Deposited!L54*Parameters!$E$46*$D$9*(1-DOCF)*Industry!D62</f>
        <v>0</v>
      </c>
      <c r="M59" s="460">
        <f>Amnt_Deposited!L54*Parameters!$E$47*$D$10*(1-DOCF)*Industry!D62</f>
        <v>0</v>
      </c>
      <c r="N59" s="394">
        <f t="shared" si="3"/>
        <v>196.59866399999999</v>
      </c>
      <c r="O59" s="396">
        <f t="shared" si="1"/>
        <v>9595.8984779999973</v>
      </c>
    </row>
    <row r="60" spans="2:15" x14ac:dyDescent="0.25">
      <c r="B60" s="393">
        <f t="shared" si="2"/>
        <v>1994</v>
      </c>
      <c r="C60" s="457">
        <f>Amnt_Deposited!J55*$D$8*(1-DOCF)*MSW!C63</f>
        <v>0</v>
      </c>
      <c r="D60" s="458">
        <f>Amnt_Deposited!C55*$F$8*(1-DOCF)*Food!D63</f>
        <v>51.667402500000001</v>
      </c>
      <c r="E60" s="459">
        <f>Amnt_Deposited!D55*$F$9*(1-DOCF)*Garden!D63</f>
        <v>0</v>
      </c>
      <c r="F60" s="459">
        <f>Amnt_Deposited!E55*$D$9*(1-DOCF)*Paper!D63</f>
        <v>99.787320000000022</v>
      </c>
      <c r="G60" s="459">
        <f>Amnt_Deposited!F55*$D$10*(1-DOCF)*Wood!D63</f>
        <v>36.9052875</v>
      </c>
      <c r="H60" s="459">
        <f>Amnt_Deposited!G55*$F$10*(1-DOCF)*Textiles!D63</f>
        <v>12.908268000000001</v>
      </c>
      <c r="I60" s="460">
        <f>Amnt_Deposited!H55*$H$8*(1-DOCF)*Nappies!D63</f>
        <v>0</v>
      </c>
      <c r="J60" s="461">
        <f>Amnt_Deposited!I55*$H$9*(1-DOCF)*Sludge!D63</f>
        <v>0</v>
      </c>
      <c r="K60" s="462">
        <f>Amnt_Deposited!L55*$H$10*(1-DOCF)*Industry!D63</f>
        <v>0</v>
      </c>
      <c r="L60" s="459">
        <f>Amnt_Deposited!L55*Parameters!$E$46*$D$9*(1-DOCF)*Industry!D63</f>
        <v>0</v>
      </c>
      <c r="M60" s="460">
        <f>Amnt_Deposited!L55*Parameters!$E$47*$D$10*(1-DOCF)*Industry!D63</f>
        <v>0</v>
      </c>
      <c r="N60" s="394">
        <f t="shared" si="3"/>
        <v>201.26827800000004</v>
      </c>
      <c r="O60" s="396">
        <f t="shared" si="1"/>
        <v>9797.1667559999969</v>
      </c>
    </row>
    <row r="61" spans="2:15" x14ac:dyDescent="0.25">
      <c r="B61" s="393">
        <f t="shared" si="2"/>
        <v>1995</v>
      </c>
      <c r="C61" s="457">
        <f>Amnt_Deposited!J56*$D$8*(1-DOCF)*MSW!C64</f>
        <v>0</v>
      </c>
      <c r="D61" s="458">
        <f>Amnt_Deposited!C56*$F$8*(1-DOCF)*Food!D64</f>
        <v>52.033117499999996</v>
      </c>
      <c r="E61" s="459">
        <f>Amnt_Deposited!D56*$F$9*(1-DOCF)*Garden!D64</f>
        <v>0</v>
      </c>
      <c r="F61" s="459">
        <f>Amnt_Deposited!E56*$D$9*(1-DOCF)*Paper!D64</f>
        <v>100.49364000000001</v>
      </c>
      <c r="G61" s="459">
        <f>Amnt_Deposited!F56*$D$10*(1-DOCF)*Wood!D64</f>
        <v>37.166512500000003</v>
      </c>
      <c r="H61" s="459">
        <f>Amnt_Deposited!G56*$F$10*(1-DOCF)*Textiles!D64</f>
        <v>12.999636000000001</v>
      </c>
      <c r="I61" s="460">
        <f>Amnt_Deposited!H56*$H$8*(1-DOCF)*Nappies!D64</f>
        <v>0</v>
      </c>
      <c r="J61" s="461">
        <f>Amnt_Deposited!I56*$H$9*(1-DOCF)*Sludge!D64</f>
        <v>0</v>
      </c>
      <c r="K61" s="462">
        <f>Amnt_Deposited!L56*$H$10*(1-DOCF)*Industry!D64</f>
        <v>0</v>
      </c>
      <c r="L61" s="459">
        <f>Amnt_Deposited!L56*Parameters!$E$46*$D$9*(1-DOCF)*Industry!D64</f>
        <v>0</v>
      </c>
      <c r="M61" s="460">
        <f>Amnt_Deposited!L56*Parameters!$E$47*$D$10*(1-DOCF)*Industry!D64</f>
        <v>0</v>
      </c>
      <c r="N61" s="394">
        <f t="shared" si="3"/>
        <v>202.69290600000002</v>
      </c>
      <c r="O61" s="396">
        <f t="shared" si="1"/>
        <v>9999.8596619999971</v>
      </c>
    </row>
    <row r="62" spans="2:15" x14ac:dyDescent="0.25">
      <c r="B62" s="393">
        <f t="shared" si="2"/>
        <v>1996</v>
      </c>
      <c r="C62" s="457">
        <f>Amnt_Deposited!J57*$D$8*(1-DOCF)*MSW!C65</f>
        <v>0</v>
      </c>
      <c r="D62" s="458">
        <f>Amnt_Deposited!C57*$F$8*(1-DOCF)*Food!D65</f>
        <v>51.306075</v>
      </c>
      <c r="E62" s="459">
        <f>Amnt_Deposited!D57*$F$9*(1-DOCF)*Garden!D65</f>
        <v>0</v>
      </c>
      <c r="F62" s="459">
        <f>Amnt_Deposited!E57*$D$9*(1-DOCF)*Paper!D65</f>
        <v>102.84804000000003</v>
      </c>
      <c r="G62" s="459">
        <f>Amnt_Deposited!F57*$D$10*(1-DOCF)*Wood!D65</f>
        <v>38.037262499999997</v>
      </c>
      <c r="H62" s="459">
        <f>Amnt_Deposited!G57*$F$10*(1-DOCF)*Textiles!D65</f>
        <v>13.304195999999999</v>
      </c>
      <c r="I62" s="460">
        <f>Amnt_Deposited!H57*$H$8*(1-DOCF)*Nappies!D65</f>
        <v>0</v>
      </c>
      <c r="J62" s="461">
        <f>Amnt_Deposited!I57*$H$9*(1-DOCF)*Sludge!D65</f>
        <v>0</v>
      </c>
      <c r="K62" s="462">
        <f>Amnt_Deposited!L57*$H$10*(1-DOCF)*Industry!D65</f>
        <v>0</v>
      </c>
      <c r="L62" s="459">
        <f>Amnt_Deposited!L57*Parameters!$E$46*$D$9*(1-DOCF)*Industry!D65</f>
        <v>0</v>
      </c>
      <c r="M62" s="460">
        <f>Amnt_Deposited!L57*Parameters!$E$47*$D$10*(1-DOCF)*Industry!D65</f>
        <v>0</v>
      </c>
      <c r="N62" s="394">
        <f t="shared" si="3"/>
        <v>205.49557350000001</v>
      </c>
      <c r="O62" s="396">
        <f t="shared" si="1"/>
        <v>10205.355235499997</v>
      </c>
    </row>
    <row r="63" spans="2:15" x14ac:dyDescent="0.25">
      <c r="B63" s="393">
        <f t="shared" si="2"/>
        <v>1997</v>
      </c>
      <c r="C63" s="457">
        <f>Amnt_Deposited!J58*$D$8*(1-DOCF)*MSW!C66</f>
        <v>0</v>
      </c>
      <c r="D63" s="458">
        <f>Amnt_Deposited!C58*$F$8*(1-DOCF)*Food!D66</f>
        <v>50.708700000000007</v>
      </c>
      <c r="E63" s="459">
        <f>Amnt_Deposited!D58*$F$9*(1-DOCF)*Garden!D66</f>
        <v>0</v>
      </c>
      <c r="F63" s="459">
        <f>Amnt_Deposited!E58*$D$9*(1-DOCF)*Paper!D66</f>
        <v>111.07620000000003</v>
      </c>
      <c r="G63" s="459">
        <f>Amnt_Deposited!F58*$D$10*(1-DOCF)*Wood!D66</f>
        <v>38.937037500000002</v>
      </c>
      <c r="H63" s="459">
        <f>Amnt_Deposited!G58*$F$10*(1-DOCF)*Textiles!D66</f>
        <v>17.385839999999998</v>
      </c>
      <c r="I63" s="460">
        <f>Amnt_Deposited!H58*$H$8*(1-DOCF)*Nappies!D66</f>
        <v>0</v>
      </c>
      <c r="J63" s="461">
        <f>Amnt_Deposited!I58*$H$9*(1-DOCF)*Sludge!D66</f>
        <v>0</v>
      </c>
      <c r="K63" s="462">
        <f>Amnt_Deposited!L58*$H$10*(1-DOCF)*Industry!D66</f>
        <v>0</v>
      </c>
      <c r="L63" s="459">
        <f>Amnt_Deposited!L58*Parameters!$E$46*$D$9*(1-DOCF)*Industry!D66</f>
        <v>0</v>
      </c>
      <c r="M63" s="460">
        <f>Amnt_Deposited!L58*Parameters!$E$47*$D$10*(1-DOCF)*Industry!D66</f>
        <v>0</v>
      </c>
      <c r="N63" s="394">
        <f t="shared" si="3"/>
        <v>218.10777750000005</v>
      </c>
      <c r="O63" s="396">
        <f t="shared" si="1"/>
        <v>10423.463012999997</v>
      </c>
    </row>
    <row r="64" spans="2:15" x14ac:dyDescent="0.25">
      <c r="B64" s="393">
        <f t="shared" si="2"/>
        <v>1998</v>
      </c>
      <c r="C64" s="457">
        <f>Amnt_Deposited!J59*$D$8*(1-DOCF)*MSW!C67</f>
        <v>0</v>
      </c>
      <c r="D64" s="458">
        <f>Amnt_Deposited!C59*$F$8*(1-DOCF)*Food!D67</f>
        <v>49.918275000000001</v>
      </c>
      <c r="E64" s="459">
        <f>Amnt_Deposited!D59*$F$9*(1-DOCF)*Garden!D67</f>
        <v>0</v>
      </c>
      <c r="F64" s="459">
        <f>Amnt_Deposited!E59*$D$9*(1-DOCF)*Paper!D67</f>
        <v>118.32479999999998</v>
      </c>
      <c r="G64" s="459">
        <f>Amnt_Deposited!F59*$D$10*(1-DOCF)*Wood!D67</f>
        <v>39.749737499999995</v>
      </c>
      <c r="H64" s="459">
        <f>Amnt_Deposited!G59*$F$10*(1-DOCF)*Textiles!D67</f>
        <v>17.748719999999995</v>
      </c>
      <c r="I64" s="460">
        <f>Amnt_Deposited!H59*$H$8*(1-DOCF)*Nappies!D67</f>
        <v>0</v>
      </c>
      <c r="J64" s="461">
        <f>Amnt_Deposited!I59*$H$9*(1-DOCF)*Sludge!D67</f>
        <v>0</v>
      </c>
      <c r="K64" s="462">
        <f>Amnt_Deposited!L59*$H$10*(1-DOCF)*Industry!D67</f>
        <v>0</v>
      </c>
      <c r="L64" s="459">
        <f>Amnt_Deposited!L59*Parameters!$E$46*$D$9*(1-DOCF)*Industry!D67</f>
        <v>0</v>
      </c>
      <c r="M64" s="460">
        <f>Amnt_Deposited!L59*Parameters!$E$47*$D$10*(1-DOCF)*Industry!D67</f>
        <v>0</v>
      </c>
      <c r="N64" s="394">
        <f t="shared" si="3"/>
        <v>225.74153249999995</v>
      </c>
      <c r="O64" s="396">
        <f t="shared" si="1"/>
        <v>10649.204545499997</v>
      </c>
    </row>
    <row r="65" spans="2:15" x14ac:dyDescent="0.25">
      <c r="B65" s="393">
        <f t="shared" si="2"/>
        <v>1999</v>
      </c>
      <c r="C65" s="457">
        <f>Amnt_Deposited!J60*$D$8*(1-DOCF)*MSW!C68</f>
        <v>0</v>
      </c>
      <c r="D65" s="458">
        <f>Amnt_Deposited!C60*$F$8*(1-DOCF)*Food!D68</f>
        <v>49.210199999999993</v>
      </c>
      <c r="E65" s="459">
        <f>Amnt_Deposited!D60*$F$9*(1-DOCF)*Garden!D68</f>
        <v>0</v>
      </c>
      <c r="F65" s="459">
        <f>Amnt_Deposited!E60*$D$9*(1-DOCF)*Paper!D68</f>
        <v>126.18</v>
      </c>
      <c r="G65" s="459">
        <f>Amnt_Deposited!F60*$D$10*(1-DOCF)*Wood!D68</f>
        <v>40.693049999999992</v>
      </c>
      <c r="H65" s="459">
        <f>Amnt_Deposited!G60*$F$10*(1-DOCF)*Textiles!D68</f>
        <v>21.198240000000002</v>
      </c>
      <c r="I65" s="460">
        <f>Amnt_Deposited!H60*$H$8*(1-DOCF)*Nappies!D68</f>
        <v>0</v>
      </c>
      <c r="J65" s="461">
        <f>Amnt_Deposited!I60*$H$9*(1-DOCF)*Sludge!D68</f>
        <v>0</v>
      </c>
      <c r="K65" s="462">
        <f>Amnt_Deposited!L60*$H$10*(1-DOCF)*Industry!D68</f>
        <v>0</v>
      </c>
      <c r="L65" s="459">
        <f>Amnt_Deposited!L60*Parameters!$E$46*$D$9*(1-DOCF)*Industry!D68</f>
        <v>0</v>
      </c>
      <c r="M65" s="460">
        <f>Amnt_Deposited!L60*Parameters!$E$47*$D$10*(1-DOCF)*Industry!D68</f>
        <v>0</v>
      </c>
      <c r="N65" s="394">
        <f t="shared" si="3"/>
        <v>237.28148999999999</v>
      </c>
      <c r="O65" s="396">
        <f t="shared" si="1"/>
        <v>10886.486035499996</v>
      </c>
    </row>
    <row r="66" spans="2:15" x14ac:dyDescent="0.25">
      <c r="B66" s="393">
        <f t="shared" si="2"/>
        <v>2000</v>
      </c>
      <c r="C66" s="457">
        <f>Amnt_Deposited!J61*$D$8*(1-DOCF)*MSW!C69</f>
        <v>0</v>
      </c>
      <c r="D66" s="458">
        <f>Amnt_Deposited!C61*$F$8*(1-DOCF)*Food!D69</f>
        <v>44.414999999999999</v>
      </c>
      <c r="E66" s="459">
        <f>Amnt_Deposited!D61*$F$9*(1-DOCF)*Garden!D69</f>
        <v>0</v>
      </c>
      <c r="F66" s="459">
        <f>Amnt_Deposited!E61*$D$9*(1-DOCF)*Paper!D69</f>
        <v>123.17760000000001</v>
      </c>
      <c r="G66" s="459">
        <f>Amnt_Deposited!F61*$D$10*(1-DOCF)*Wood!D69</f>
        <v>38.196899999999999</v>
      </c>
      <c r="H66" s="459">
        <f>Amnt_Deposited!G61*$F$10*(1-DOCF)*Textiles!D69</f>
        <v>19.897920000000003</v>
      </c>
      <c r="I66" s="460">
        <f>Amnt_Deposited!H61*$H$8*(1-DOCF)*Nappies!D69</f>
        <v>0</v>
      </c>
      <c r="J66" s="461">
        <f>Amnt_Deposited!I61*$H$9*(1-DOCF)*Sludge!D69</f>
        <v>0</v>
      </c>
      <c r="K66" s="462">
        <f>Amnt_Deposited!L61*$H$10*(1-DOCF)*Industry!D69</f>
        <v>0</v>
      </c>
      <c r="L66" s="459">
        <f>Amnt_Deposited!L61*Parameters!$E$46*$D$9*(1-DOCF)*Industry!D69</f>
        <v>0</v>
      </c>
      <c r="M66" s="460">
        <f>Amnt_Deposited!L61*Parameters!$E$47*$D$10*(1-DOCF)*Industry!D69</f>
        <v>0</v>
      </c>
      <c r="N66" s="394">
        <f t="shared" si="3"/>
        <v>225.68742</v>
      </c>
      <c r="O66" s="396">
        <f t="shared" si="1"/>
        <v>11112.173455499997</v>
      </c>
    </row>
    <row r="67" spans="2:15" x14ac:dyDescent="0.25">
      <c r="B67" s="393">
        <f t="shared" si="2"/>
        <v>2001</v>
      </c>
      <c r="C67" s="457">
        <f>Amnt_Deposited!J62*$D$8*(1-DOCF)*MSW!C70</f>
        <v>0</v>
      </c>
      <c r="D67" s="458">
        <f>Amnt_Deposited!C62*$F$8*(1-DOCF)*Food!D70</f>
        <v>43.51657500000001</v>
      </c>
      <c r="E67" s="459">
        <f>Amnt_Deposited!D62*$F$9*(1-DOCF)*Garden!D70</f>
        <v>0</v>
      </c>
      <c r="F67" s="459">
        <f>Amnt_Deposited!E62*$D$9*(1-DOCF)*Paper!D70</f>
        <v>136.22580000000002</v>
      </c>
      <c r="G67" s="459">
        <f>Amnt_Deposited!F62*$D$10*(1-DOCF)*Wood!D70</f>
        <v>40.678537500000004</v>
      </c>
      <c r="H67" s="459">
        <f>Amnt_Deposited!G62*$F$10*(1-DOCF)*Textiles!D70</f>
        <v>24.217920000000003</v>
      </c>
      <c r="I67" s="460">
        <f>Amnt_Deposited!H62*$H$8*(1-DOCF)*Nappies!D70</f>
        <v>0</v>
      </c>
      <c r="J67" s="461">
        <f>Amnt_Deposited!I62*$H$9*(1-DOCF)*Sludge!D70</f>
        <v>0</v>
      </c>
      <c r="K67" s="462">
        <f>Amnt_Deposited!L62*$H$10*(1-DOCF)*Industry!D70</f>
        <v>0</v>
      </c>
      <c r="L67" s="459">
        <f>Amnt_Deposited!L62*Parameters!$E$46*$D$9*(1-DOCF)*Industry!D70</f>
        <v>0</v>
      </c>
      <c r="M67" s="460">
        <f>Amnt_Deposited!L62*Parameters!$E$47*$D$10*(1-DOCF)*Industry!D70</f>
        <v>0</v>
      </c>
      <c r="N67" s="394">
        <f t="shared" si="3"/>
        <v>244.63883250000003</v>
      </c>
      <c r="O67" s="396">
        <f t="shared" si="1"/>
        <v>11356.812287999997</v>
      </c>
    </row>
    <row r="68" spans="2:15" x14ac:dyDescent="0.25">
      <c r="B68" s="393">
        <f t="shared" si="2"/>
        <v>2002</v>
      </c>
      <c r="C68" s="457">
        <f>Amnt_Deposited!J63*$D$8*(1-DOCF)*MSW!C71</f>
        <v>0</v>
      </c>
      <c r="D68" s="458">
        <f>Amnt_Deposited!C63*$F$8*(1-DOCF)*Food!D71</f>
        <v>47.688749999999999</v>
      </c>
      <c r="E68" s="459">
        <f>Amnt_Deposited!D63*$F$9*(1-DOCF)*Garden!D71</f>
        <v>0</v>
      </c>
      <c r="F68" s="459">
        <f>Amnt_Deposited!E63*$D$9*(1-DOCF)*Paper!D71</f>
        <v>122.08320000000002</v>
      </c>
      <c r="G68" s="459">
        <f>Amnt_Deposited!F63*$D$10*(1-DOCF)*Wood!D71</f>
        <v>49.214790000000001</v>
      </c>
      <c r="H68" s="459">
        <f>Amnt_Deposited!G63*$F$10*(1-DOCF)*Textiles!D71</f>
        <v>24.416640000000001</v>
      </c>
      <c r="I68" s="460">
        <f>Amnt_Deposited!H63*$H$8*(1-DOCF)*Nappies!D71</f>
        <v>0</v>
      </c>
      <c r="J68" s="461">
        <f>Amnt_Deposited!I63*$H$9*(1-DOCF)*Sludge!D71</f>
        <v>0</v>
      </c>
      <c r="K68" s="462">
        <f>Amnt_Deposited!L63*$H$10*(1-DOCF)*Industry!D71</f>
        <v>0</v>
      </c>
      <c r="L68" s="459">
        <f>Amnt_Deposited!L63*Parameters!$E$46*$D$9*(1-DOCF)*Industry!D71</f>
        <v>0</v>
      </c>
      <c r="M68" s="460">
        <f>Amnt_Deposited!L63*Parameters!$E$47*$D$10*(1-DOCF)*Industry!D71</f>
        <v>0</v>
      </c>
      <c r="N68" s="394">
        <f t="shared" si="3"/>
        <v>243.40338</v>
      </c>
      <c r="O68" s="396">
        <f t="shared" si="1"/>
        <v>11600.215667999997</v>
      </c>
    </row>
    <row r="69" spans="2:15" x14ac:dyDescent="0.25">
      <c r="B69" s="393">
        <f t="shared" si="2"/>
        <v>2003</v>
      </c>
      <c r="C69" s="457">
        <f>Amnt_Deposited!J64*$D$8*(1-DOCF)*MSW!C72</f>
        <v>0</v>
      </c>
      <c r="D69" s="458">
        <f>Amnt_Deposited!C64*$F$8*(1-DOCF)*Food!D72</f>
        <v>53.217000000000006</v>
      </c>
      <c r="E69" s="459">
        <f>Amnt_Deposited!D64*$F$9*(1-DOCF)*Garden!D72</f>
        <v>0</v>
      </c>
      <c r="F69" s="459">
        <f>Amnt_Deposited!E64*$D$9*(1-DOCF)*Paper!D72</f>
        <v>115.63200000000001</v>
      </c>
      <c r="G69" s="459">
        <f>Amnt_Deposited!F64*$D$10*(1-DOCF)*Wood!D72</f>
        <v>62.152199999999993</v>
      </c>
      <c r="H69" s="459">
        <f>Amnt_Deposited!G64*$F$10*(1-DOCF)*Textiles!D72</f>
        <v>22.075199999999999</v>
      </c>
      <c r="I69" s="460">
        <f>Amnt_Deposited!H64*$H$8*(1-DOCF)*Nappies!D72</f>
        <v>0</v>
      </c>
      <c r="J69" s="461">
        <f>Amnt_Deposited!I64*$H$9*(1-DOCF)*Sludge!D72</f>
        <v>0</v>
      </c>
      <c r="K69" s="462">
        <f>Amnt_Deposited!L64*$H$10*(1-DOCF)*Industry!D72</f>
        <v>0</v>
      </c>
      <c r="L69" s="459">
        <f>Amnt_Deposited!L64*Parameters!$E$46*$D$9*(1-DOCF)*Industry!D72</f>
        <v>0</v>
      </c>
      <c r="M69" s="460">
        <f>Amnt_Deposited!L64*Parameters!$E$47*$D$10*(1-DOCF)*Industry!D72</f>
        <v>0</v>
      </c>
      <c r="N69" s="394">
        <f t="shared" si="3"/>
        <v>253.07640000000001</v>
      </c>
      <c r="O69" s="396">
        <f t="shared" si="1"/>
        <v>11853.292067999997</v>
      </c>
    </row>
    <row r="70" spans="2:15" x14ac:dyDescent="0.25">
      <c r="B70" s="393">
        <f t="shared" si="2"/>
        <v>2004</v>
      </c>
      <c r="C70" s="457">
        <f>Amnt_Deposited!J65*$D$8*(1-DOCF)*MSW!C73</f>
        <v>0</v>
      </c>
      <c r="D70" s="458">
        <f>Amnt_Deposited!C65*$F$8*(1-DOCF)*Food!D73</f>
        <v>59.778000000000006</v>
      </c>
      <c r="E70" s="459">
        <f>Amnt_Deposited!D65*$F$9*(1-DOCF)*Garden!D73</f>
        <v>0</v>
      </c>
      <c r="F70" s="459">
        <f>Amnt_Deposited!E65*$D$9*(1-DOCF)*Paper!D73</f>
        <v>100.95840000000001</v>
      </c>
      <c r="G70" s="459">
        <f>Amnt_Deposited!F65*$D$10*(1-DOCF)*Wood!D73</f>
        <v>74.257559999999998</v>
      </c>
      <c r="H70" s="459">
        <f>Amnt_Deposited!G65*$F$10*(1-DOCF)*Textiles!D73</f>
        <v>22.317120000000003</v>
      </c>
      <c r="I70" s="460">
        <f>Amnt_Deposited!H65*$H$8*(1-DOCF)*Nappies!D73</f>
        <v>0</v>
      </c>
      <c r="J70" s="461">
        <f>Amnt_Deposited!I65*$H$9*(1-DOCF)*Sludge!D73</f>
        <v>0</v>
      </c>
      <c r="K70" s="462">
        <f>Amnt_Deposited!L65*$H$10*(1-DOCF)*Industry!D73</f>
        <v>0</v>
      </c>
      <c r="L70" s="459">
        <f>Amnt_Deposited!L65*Parameters!$E$46*$D$9*(1-DOCF)*Industry!D73</f>
        <v>0</v>
      </c>
      <c r="M70" s="460">
        <f>Amnt_Deposited!L65*Parameters!$E$47*$D$10*(1-DOCF)*Industry!D73</f>
        <v>0</v>
      </c>
      <c r="N70" s="394">
        <f t="shared" si="3"/>
        <v>257.31108</v>
      </c>
      <c r="O70" s="396">
        <f t="shared" si="1"/>
        <v>12110.603147999997</v>
      </c>
    </row>
    <row r="71" spans="2:15" x14ac:dyDescent="0.25">
      <c r="B71" s="393">
        <f t="shared" si="2"/>
        <v>2005</v>
      </c>
      <c r="C71" s="457">
        <f>Amnt_Deposited!J66*$D$8*(1-DOCF)*MSW!C74</f>
        <v>0</v>
      </c>
      <c r="D71" s="458">
        <f>Amnt_Deposited!C66*$F$8*(1-DOCF)*Food!D74</f>
        <v>64.8</v>
      </c>
      <c r="E71" s="459">
        <f>Amnt_Deposited!D66*$F$9*(1-DOCF)*Garden!D74</f>
        <v>0</v>
      </c>
      <c r="F71" s="459">
        <f>Amnt_Deposited!E66*$D$9*(1-DOCF)*Paper!D74</f>
        <v>86.4</v>
      </c>
      <c r="G71" s="459">
        <f>Amnt_Deposited!F66*$D$10*(1-DOCF)*Wood!D74</f>
        <v>81.27000000000001</v>
      </c>
      <c r="H71" s="459">
        <f>Amnt_Deposited!G66*$F$10*(1-DOCF)*Textiles!D74</f>
        <v>22.680000000000003</v>
      </c>
      <c r="I71" s="460">
        <f>Amnt_Deposited!H66*$H$8*(1-DOCF)*Nappies!D74</f>
        <v>0</v>
      </c>
      <c r="J71" s="461">
        <f>Amnt_Deposited!I66*$H$9*(1-DOCF)*Sludge!D74</f>
        <v>0</v>
      </c>
      <c r="K71" s="462">
        <f>Amnt_Deposited!L66*$H$10*(1-DOCF)*Industry!D74</f>
        <v>0</v>
      </c>
      <c r="L71" s="459">
        <f>Amnt_Deposited!L66*Parameters!$E$46*$D$9*(1-DOCF)*Industry!D74</f>
        <v>0</v>
      </c>
      <c r="M71" s="460">
        <f>Amnt_Deposited!L66*Parameters!$E$47*$D$10*(1-DOCF)*Industry!D74</f>
        <v>0</v>
      </c>
      <c r="N71" s="394">
        <f t="shared" si="3"/>
        <v>255.15</v>
      </c>
      <c r="O71" s="396">
        <f t="shared" si="1"/>
        <v>12365.753147999996</v>
      </c>
    </row>
    <row r="72" spans="2:15" x14ac:dyDescent="0.25">
      <c r="B72" s="393">
        <f t="shared" si="2"/>
        <v>2006</v>
      </c>
      <c r="C72" s="457">
        <f>Amnt_Deposited!J67*$D$8*(1-DOCF)*MSW!C75</f>
        <v>0</v>
      </c>
      <c r="D72" s="458">
        <f>Amnt_Deposited!C67*$F$8*(1-DOCF)*Food!D75</f>
        <v>66.311999999999998</v>
      </c>
      <c r="E72" s="459">
        <f>Amnt_Deposited!D67*$F$9*(1-DOCF)*Garden!D75</f>
        <v>0</v>
      </c>
      <c r="F72" s="459">
        <f>Amnt_Deposited!E67*$D$9*(1-DOCF)*Paper!D75</f>
        <v>88.415999999999997</v>
      </c>
      <c r="G72" s="459">
        <f>Amnt_Deposited!F67*$D$10*(1-DOCF)*Wood!D75</f>
        <v>83.166300000000007</v>
      </c>
      <c r="H72" s="459">
        <f>Amnt_Deposited!G67*$F$10*(1-DOCF)*Textiles!D75</f>
        <v>23.209200000000003</v>
      </c>
      <c r="I72" s="460">
        <f>Amnt_Deposited!H67*$H$8*(1-DOCF)*Nappies!D75</f>
        <v>0</v>
      </c>
      <c r="J72" s="461">
        <f>Amnt_Deposited!I67*$H$9*(1-DOCF)*Sludge!D75</f>
        <v>0</v>
      </c>
      <c r="K72" s="462">
        <f>Amnt_Deposited!L67*$H$10*(1-DOCF)*Industry!D75</f>
        <v>0</v>
      </c>
      <c r="L72" s="459">
        <f>Amnt_Deposited!L67*Parameters!$E$46*$D$9*(1-DOCF)*Industry!D75</f>
        <v>0</v>
      </c>
      <c r="M72" s="460">
        <f>Amnt_Deposited!L67*Parameters!$E$47*$D$10*(1-DOCF)*Industry!D75</f>
        <v>0</v>
      </c>
      <c r="N72" s="394">
        <f t="shared" si="3"/>
        <v>261.1035</v>
      </c>
      <c r="O72" s="396">
        <f t="shared" si="1"/>
        <v>12626.856647999995</v>
      </c>
    </row>
    <row r="73" spans="2:15" x14ac:dyDescent="0.25">
      <c r="B73" s="393">
        <f t="shared" si="2"/>
        <v>2007</v>
      </c>
      <c r="C73" s="457">
        <f>Amnt_Deposited!J68*$D$8*(1-DOCF)*MSW!C76</f>
        <v>0</v>
      </c>
      <c r="D73" s="458">
        <f>Amnt_Deposited!C68*$F$8*(1-DOCF)*Food!D76</f>
        <v>69.573599999999999</v>
      </c>
      <c r="E73" s="459">
        <f>Amnt_Deposited!D68*$F$9*(1-DOCF)*Garden!D76</f>
        <v>0</v>
      </c>
      <c r="F73" s="459">
        <f>Amnt_Deposited!E68*$D$9*(1-DOCF)*Paper!D76</f>
        <v>98.562600000000018</v>
      </c>
      <c r="G73" s="459">
        <f>Amnt_Deposited!F68*$D$10*(1-DOCF)*Wood!D76</f>
        <v>81.024255000000011</v>
      </c>
      <c r="H73" s="459">
        <f>Amnt_Deposited!G68*$F$10*(1-DOCF)*Textiles!D76</f>
        <v>27.829439999999998</v>
      </c>
      <c r="I73" s="460">
        <f>Amnt_Deposited!H68*$H$8*(1-DOCF)*Nappies!D76</f>
        <v>0</v>
      </c>
      <c r="J73" s="461">
        <f>Amnt_Deposited!I68*$H$9*(1-DOCF)*Sludge!D76</f>
        <v>0</v>
      </c>
      <c r="K73" s="462">
        <f>Amnt_Deposited!L68*$H$10*(1-DOCF)*Industry!D76</f>
        <v>0</v>
      </c>
      <c r="L73" s="459">
        <f>Amnt_Deposited!L68*Parameters!$E$46*$D$9*(1-DOCF)*Industry!D76</f>
        <v>0</v>
      </c>
      <c r="M73" s="460">
        <f>Amnt_Deposited!L68*Parameters!$E$47*$D$10*(1-DOCF)*Industry!D76</f>
        <v>0</v>
      </c>
      <c r="N73" s="394">
        <f t="shared" si="3"/>
        <v>276.98989500000005</v>
      </c>
      <c r="O73" s="396">
        <f t="shared" si="1"/>
        <v>12903.846542999996</v>
      </c>
    </row>
    <row r="74" spans="2:15" x14ac:dyDescent="0.25">
      <c r="B74" s="393">
        <f t="shared" si="2"/>
        <v>2008</v>
      </c>
      <c r="C74" s="457">
        <f>Amnt_Deposited!J69*$D$8*(1-DOCF)*MSW!C77</f>
        <v>0</v>
      </c>
      <c r="D74" s="458">
        <f>Amnt_Deposited!C69*$F$8*(1-DOCF)*Food!D77</f>
        <v>71.582399999999993</v>
      </c>
      <c r="E74" s="459">
        <f>Amnt_Deposited!D69*$F$9*(1-DOCF)*Garden!D77</f>
        <v>0</v>
      </c>
      <c r="F74" s="459">
        <f>Amnt_Deposited!E69*$D$9*(1-DOCF)*Paper!D77</f>
        <v>95.443200000000004</v>
      </c>
      <c r="G74" s="459">
        <f>Amnt_Deposited!F69*$D$10*(1-DOCF)*Wood!D77</f>
        <v>89.776260000000008</v>
      </c>
      <c r="H74" s="459">
        <f>Amnt_Deposited!G69*$F$10*(1-DOCF)*Textiles!D77</f>
        <v>25.053840000000001</v>
      </c>
      <c r="I74" s="460">
        <f>Amnt_Deposited!H69*$H$8*(1-DOCF)*Nappies!D77</f>
        <v>0</v>
      </c>
      <c r="J74" s="461">
        <f>Amnt_Deposited!I69*$H$9*(1-DOCF)*Sludge!D77</f>
        <v>0</v>
      </c>
      <c r="K74" s="462">
        <f>Amnt_Deposited!L69*$H$10*(1-DOCF)*Industry!D77</f>
        <v>0</v>
      </c>
      <c r="L74" s="459">
        <f>Amnt_Deposited!L69*Parameters!$E$46*$D$9*(1-DOCF)*Industry!D77</f>
        <v>0</v>
      </c>
      <c r="M74" s="460">
        <f>Amnt_Deposited!L69*Parameters!$E$47*$D$10*(1-DOCF)*Industry!D77</f>
        <v>0</v>
      </c>
      <c r="N74" s="394">
        <f t="shared" si="3"/>
        <v>281.85570000000001</v>
      </c>
      <c r="O74" s="396">
        <f t="shared" si="1"/>
        <v>13185.702242999996</v>
      </c>
    </row>
    <row r="75" spans="2:15" x14ac:dyDescent="0.25">
      <c r="B75" s="393">
        <f t="shared" si="2"/>
        <v>2009</v>
      </c>
      <c r="C75" s="457">
        <f>Amnt_Deposited!J70*$D$8*(1-DOCF)*MSW!C78</f>
        <v>0</v>
      </c>
      <c r="D75" s="458">
        <f>Amnt_Deposited!C70*$F$8*(1-DOCF)*Food!D78</f>
        <v>80.891999999999996</v>
      </c>
      <c r="E75" s="459">
        <f>Amnt_Deposited!D70*$F$9*(1-DOCF)*Garden!D78</f>
        <v>0</v>
      </c>
      <c r="F75" s="459">
        <f>Amnt_Deposited!E70*$D$9*(1-DOCF)*Paper!D78</f>
        <v>98.611199999999997</v>
      </c>
      <c r="G75" s="459">
        <f>Amnt_Deposited!F70*$D$10*(1-DOCF)*Wood!D78</f>
        <v>86.130719999999997</v>
      </c>
      <c r="H75" s="459">
        <f>Amnt_Deposited!G70*$F$10*(1-DOCF)*Textiles!D78</f>
        <v>29.583359999999999</v>
      </c>
      <c r="I75" s="460">
        <f>Amnt_Deposited!H70*$H$8*(1-DOCF)*Nappies!D78</f>
        <v>0</v>
      </c>
      <c r="J75" s="461">
        <f>Amnt_Deposited!I70*$H$9*(1-DOCF)*Sludge!D78</f>
        <v>0</v>
      </c>
      <c r="K75" s="462">
        <f>Amnt_Deposited!L70*$H$10*(1-DOCF)*Industry!D78</f>
        <v>0</v>
      </c>
      <c r="L75" s="459">
        <f>Amnt_Deposited!L70*Parameters!$E$46*$D$9*(1-DOCF)*Industry!D78</f>
        <v>0</v>
      </c>
      <c r="M75" s="460">
        <f>Amnt_Deposited!L70*Parameters!$E$47*$D$10*(1-DOCF)*Industry!D78</f>
        <v>0</v>
      </c>
      <c r="N75" s="394">
        <f t="shared" si="3"/>
        <v>295.21727999999996</v>
      </c>
      <c r="O75" s="396">
        <f t="shared" si="1"/>
        <v>13480.919522999997</v>
      </c>
    </row>
    <row r="76" spans="2:15" x14ac:dyDescent="0.25">
      <c r="B76" s="393">
        <f t="shared" si="2"/>
        <v>2010</v>
      </c>
      <c r="C76" s="457">
        <f>Amnt_Deposited!J71*$D$8*(1-DOCF)*MSW!C79</f>
        <v>0</v>
      </c>
      <c r="D76" s="458">
        <f>Amnt_Deposited!C71*$F$8*(1-DOCF)*Food!D79</f>
        <v>80.46674999999999</v>
      </c>
      <c r="E76" s="459">
        <f>Amnt_Deposited!D71*$F$9*(1-DOCF)*Garden!D79</f>
        <v>0</v>
      </c>
      <c r="F76" s="459">
        <f>Amnt_Deposited!E71*$D$9*(1-DOCF)*Paper!D79</f>
        <v>98.092800000000011</v>
      </c>
      <c r="G76" s="459">
        <f>Amnt_Deposited!F71*$D$10*(1-DOCF)*Wood!D79</f>
        <v>85.677930000000003</v>
      </c>
      <c r="H76" s="459">
        <f>Amnt_Deposited!G71*$F$10*(1-DOCF)*Textiles!D79</f>
        <v>29.42784</v>
      </c>
      <c r="I76" s="460">
        <f>Amnt_Deposited!H71*$H$8*(1-DOCF)*Nappies!D79</f>
        <v>0</v>
      </c>
      <c r="J76" s="461">
        <f>Amnt_Deposited!I71*$H$9*(1-DOCF)*Sludge!D79</f>
        <v>0</v>
      </c>
      <c r="K76" s="462">
        <f>Amnt_Deposited!L71*$H$10*(1-DOCF)*Industry!D79</f>
        <v>0</v>
      </c>
      <c r="L76" s="459">
        <f>Amnt_Deposited!L71*Parameters!$E$46*$D$9*(1-DOCF)*Industry!D79</f>
        <v>0</v>
      </c>
      <c r="M76" s="460">
        <f>Amnt_Deposited!L71*Parameters!$E$47*$D$10*(1-DOCF)*Industry!D79</f>
        <v>0</v>
      </c>
      <c r="N76" s="394">
        <f t="shared" si="3"/>
        <v>293.66532000000001</v>
      </c>
      <c r="O76" s="396">
        <f t="shared" si="1"/>
        <v>13774.584842999997</v>
      </c>
    </row>
    <row r="77" spans="2:15" x14ac:dyDescent="0.25">
      <c r="B77" s="393">
        <f t="shared" si="2"/>
        <v>2011</v>
      </c>
      <c r="C77" s="457">
        <f>Amnt_Deposited!J72*$D$8*(1-DOCF)*MSW!C80</f>
        <v>0</v>
      </c>
      <c r="D77" s="458">
        <f>Amnt_Deposited!C72*$F$8*(1-DOCF)*Food!D80</f>
        <v>75.24562499999999</v>
      </c>
      <c r="E77" s="459">
        <f>Amnt_Deposited!D72*$F$9*(1-DOCF)*Garden!D80</f>
        <v>0</v>
      </c>
      <c r="F77" s="459">
        <f>Amnt_Deposited!E72*$D$9*(1-DOCF)*Paper!D80</f>
        <v>91.728000000000009</v>
      </c>
      <c r="G77" s="459">
        <f>Amnt_Deposited!F72*$D$10*(1-DOCF)*Wood!D80</f>
        <v>80.11867500000001</v>
      </c>
      <c r="H77" s="459">
        <f>Amnt_Deposited!G72*$F$10*(1-DOCF)*Textiles!D80</f>
        <v>27.5184</v>
      </c>
      <c r="I77" s="460">
        <f>Amnt_Deposited!H72*$H$8*(1-DOCF)*Nappies!D80</f>
        <v>0</v>
      </c>
      <c r="J77" s="461">
        <f>Amnt_Deposited!I72*$H$9*(1-DOCF)*Sludge!D80</f>
        <v>0</v>
      </c>
      <c r="K77" s="462">
        <f>Amnt_Deposited!L72*$H$10*(1-DOCF)*Industry!D80</f>
        <v>0</v>
      </c>
      <c r="L77" s="459">
        <f>Amnt_Deposited!L72*Parameters!$E$46*$D$9*(1-DOCF)*Industry!D80</f>
        <v>0</v>
      </c>
      <c r="M77" s="460">
        <f>Amnt_Deposited!L72*Parameters!$E$47*$D$10*(1-DOCF)*Industry!D80</f>
        <v>0</v>
      </c>
      <c r="N77" s="394">
        <f t="shared" si="3"/>
        <v>274.61070000000001</v>
      </c>
      <c r="O77" s="396">
        <f t="shared" si="1"/>
        <v>14049.195542999996</v>
      </c>
    </row>
    <row r="78" spans="2:15" x14ac:dyDescent="0.25">
      <c r="B78" s="393">
        <f t="shared" si="2"/>
        <v>2012</v>
      </c>
      <c r="C78" s="457">
        <f>Amnt_Deposited!J73*$D$8*(1-DOCF)*MSW!C81</f>
        <v>0</v>
      </c>
      <c r="D78" s="458">
        <f>Amnt_Deposited!C73*$F$8*(1-DOCF)*Food!D81</f>
        <v>70.426124999999999</v>
      </c>
      <c r="E78" s="459">
        <f>Amnt_Deposited!D73*$F$9*(1-DOCF)*Garden!D81</f>
        <v>0</v>
      </c>
      <c r="F78" s="459">
        <f>Amnt_Deposited!E73*$D$9*(1-DOCF)*Paper!D81</f>
        <v>85.852800000000002</v>
      </c>
      <c r="G78" s="459">
        <f>Amnt_Deposited!F73*$D$10*(1-DOCF)*Wood!D81</f>
        <v>74.987055000000012</v>
      </c>
      <c r="H78" s="459">
        <f>Amnt_Deposited!G73*$F$10*(1-DOCF)*Textiles!D81</f>
        <v>25.755839999999999</v>
      </c>
      <c r="I78" s="460">
        <f>Amnt_Deposited!H73*$H$8*(1-DOCF)*Nappies!D81</f>
        <v>0</v>
      </c>
      <c r="J78" s="461">
        <f>Amnt_Deposited!I73*$H$9*(1-DOCF)*Sludge!D81</f>
        <v>0</v>
      </c>
      <c r="K78" s="462">
        <f>Amnt_Deposited!L73*$H$10*(1-DOCF)*Industry!D81</f>
        <v>0</v>
      </c>
      <c r="L78" s="459">
        <f>Amnt_Deposited!L73*Parameters!$E$46*$D$9*(1-DOCF)*Industry!D81</f>
        <v>0</v>
      </c>
      <c r="M78" s="460">
        <f>Amnt_Deposited!L73*Parameters!$E$47*$D$10*(1-DOCF)*Industry!D81</f>
        <v>0</v>
      </c>
      <c r="N78" s="394">
        <f t="shared" si="3"/>
        <v>257.02181999999999</v>
      </c>
      <c r="O78" s="396">
        <f t="shared" si="1"/>
        <v>14306.217362999996</v>
      </c>
    </row>
    <row r="79" spans="2:15" x14ac:dyDescent="0.25">
      <c r="B79" s="393">
        <f t="shared" si="2"/>
        <v>2013</v>
      </c>
      <c r="C79" s="457">
        <f>Amnt_Deposited!J74*$D$8*(1-DOCF)*MSW!C82</f>
        <v>0</v>
      </c>
      <c r="D79" s="458">
        <f>Amnt_Deposited!C74*$F$8*(1-DOCF)*Food!D82</f>
        <v>65.819249999999997</v>
      </c>
      <c r="E79" s="459">
        <f>Amnt_Deposited!D74*$F$9*(1-DOCF)*Garden!D82</f>
        <v>0</v>
      </c>
      <c r="F79" s="459">
        <f>Amnt_Deposited!E74*$D$9*(1-DOCF)*Paper!D82</f>
        <v>80.236800000000017</v>
      </c>
      <c r="G79" s="459">
        <f>Amnt_Deposited!F74*$D$10*(1-DOCF)*Wood!D82</f>
        <v>70.081830000000011</v>
      </c>
      <c r="H79" s="459">
        <f>Amnt_Deposited!G74*$F$10*(1-DOCF)*Textiles!D82</f>
        <v>24.07104</v>
      </c>
      <c r="I79" s="460">
        <f>Amnt_Deposited!H74*$H$8*(1-DOCF)*Nappies!D82</f>
        <v>0</v>
      </c>
      <c r="J79" s="461">
        <f>Amnt_Deposited!I74*$H$9*(1-DOCF)*Sludge!D82</f>
        <v>0</v>
      </c>
      <c r="K79" s="462">
        <f>Amnt_Deposited!L74*$H$10*(1-DOCF)*Industry!D82</f>
        <v>0</v>
      </c>
      <c r="L79" s="459">
        <f>Amnt_Deposited!L74*Parameters!$E$46*$D$9*(1-DOCF)*Industry!D82</f>
        <v>0</v>
      </c>
      <c r="M79" s="460">
        <f>Amnt_Deposited!L74*Parameters!$E$47*$D$10*(1-DOCF)*Industry!D82</f>
        <v>0</v>
      </c>
      <c r="N79" s="394">
        <f t="shared" si="3"/>
        <v>240.20892000000006</v>
      </c>
      <c r="O79" s="396">
        <f t="shared" si="1"/>
        <v>14546.426282999997</v>
      </c>
    </row>
    <row r="80" spans="2:15" x14ac:dyDescent="0.25">
      <c r="B80" s="393">
        <f t="shared" si="2"/>
        <v>2014</v>
      </c>
      <c r="C80" s="457">
        <f>Amnt_Deposited!J75*$D$8*(1-DOCF)*MSW!C83</f>
        <v>0</v>
      </c>
      <c r="D80" s="458">
        <f>Amnt_Deposited!C75*$F$8*(1-DOCF)*Food!D83</f>
        <v>63.598500000000001</v>
      </c>
      <c r="E80" s="459">
        <f>Amnt_Deposited!D75*$F$9*(1-DOCF)*Garden!D83</f>
        <v>0</v>
      </c>
      <c r="F80" s="459">
        <f>Amnt_Deposited!E75*$D$9*(1-DOCF)*Paper!D83</f>
        <v>77.529600000000016</v>
      </c>
      <c r="G80" s="459">
        <f>Amnt_Deposited!F75*$D$10*(1-DOCF)*Wood!D83</f>
        <v>67.71726000000001</v>
      </c>
      <c r="H80" s="459">
        <f>Amnt_Deposited!G75*$F$10*(1-DOCF)*Textiles!D83</f>
        <v>23.258880000000001</v>
      </c>
      <c r="I80" s="460">
        <f>Amnt_Deposited!H75*$H$8*(1-DOCF)*Nappies!D83</f>
        <v>0</v>
      </c>
      <c r="J80" s="461">
        <f>Amnt_Deposited!I75*$H$9*(1-DOCF)*Sludge!D83</f>
        <v>0</v>
      </c>
      <c r="K80" s="462">
        <f>Amnt_Deposited!L75*$H$10*(1-DOCF)*Industry!D83</f>
        <v>0</v>
      </c>
      <c r="L80" s="459">
        <f>Amnt_Deposited!L75*Parameters!$E$46*$D$9*(1-DOCF)*Industry!D83</f>
        <v>0</v>
      </c>
      <c r="M80" s="460">
        <f>Amnt_Deposited!L75*Parameters!$E$47*$D$10*(1-DOCF)*Industry!D83</f>
        <v>0</v>
      </c>
      <c r="N80" s="394">
        <f t="shared" ref="N80:N106" si="4">IF(Select2=2,C80+J80+K80, D80+E80+F80+G80+H80+I80+J80+K80)</f>
        <v>232.10424000000003</v>
      </c>
      <c r="O80" s="396">
        <f t="shared" ref="O80:O106" si="5">O79+N80</f>
        <v>14778.530522999998</v>
      </c>
    </row>
    <row r="81" spans="2:15" x14ac:dyDescent="0.25">
      <c r="B81" s="393">
        <f t="shared" si="2"/>
        <v>2015</v>
      </c>
      <c r="C81" s="457">
        <f>Amnt_Deposited!J76*$D$8*(1-DOCF)*MSW!C84</f>
        <v>0</v>
      </c>
      <c r="D81" s="458">
        <f>Amnt_Deposited!C76*$F$8*(1-DOCF)*Food!D84</f>
        <v>60.716249999999995</v>
      </c>
      <c r="E81" s="459">
        <f>Amnt_Deposited!D76*$F$9*(1-DOCF)*Garden!D84</f>
        <v>0</v>
      </c>
      <c r="F81" s="459">
        <f>Amnt_Deposited!E76*$D$9*(1-DOCF)*Paper!D84</f>
        <v>74.016000000000005</v>
      </c>
      <c r="G81" s="459">
        <f>Amnt_Deposited!F76*$D$10*(1-DOCF)*Wood!D84</f>
        <v>64.648349999999994</v>
      </c>
      <c r="H81" s="459">
        <f>Amnt_Deposited!G76*$F$10*(1-DOCF)*Textiles!D84</f>
        <v>22.204799999999999</v>
      </c>
      <c r="I81" s="460">
        <f>Amnt_Deposited!H76*$H$8*(1-DOCF)*Nappies!D84</f>
        <v>0</v>
      </c>
      <c r="J81" s="461">
        <f>Amnt_Deposited!I76*$H$9*(1-DOCF)*Sludge!D84</f>
        <v>0</v>
      </c>
      <c r="K81" s="462">
        <f>Amnt_Deposited!L76*$H$10*(1-DOCF)*Industry!D84</f>
        <v>0</v>
      </c>
      <c r="L81" s="459">
        <f>Amnt_Deposited!L76*Parameters!$E$46*$D$9*(1-DOCF)*Industry!D84</f>
        <v>0</v>
      </c>
      <c r="M81" s="460">
        <f>Amnt_Deposited!L76*Parameters!$E$47*$D$10*(1-DOCF)*Industry!D84</f>
        <v>0</v>
      </c>
      <c r="N81" s="394">
        <f t="shared" si="4"/>
        <v>221.58539999999999</v>
      </c>
      <c r="O81" s="396">
        <f t="shared" si="5"/>
        <v>15000.115922999998</v>
      </c>
    </row>
    <row r="82" spans="2:15" x14ac:dyDescent="0.25">
      <c r="B82" s="393">
        <f t="shared" ref="B82:B106" si="6">B81+1</f>
        <v>2016</v>
      </c>
      <c r="C82" s="457">
        <f>Amnt_Deposited!J77*$D$8*(1-DOCF)*MSW!C85</f>
        <v>0</v>
      </c>
      <c r="D82" s="458">
        <f>Amnt_Deposited!C77*$F$8*(1-DOCF)*Food!D85</f>
        <v>59.03887499999999</v>
      </c>
      <c r="E82" s="459">
        <f>Amnt_Deposited!D77*$F$9*(1-DOCF)*Garden!D85</f>
        <v>0</v>
      </c>
      <c r="F82" s="459">
        <f>Amnt_Deposited!E77*$D$9*(1-DOCF)*Paper!D85</f>
        <v>71.971199999999996</v>
      </c>
      <c r="G82" s="459">
        <f>Amnt_Deposited!F77*$D$10*(1-DOCF)*Wood!D85</f>
        <v>62.862344999999998</v>
      </c>
      <c r="H82" s="459">
        <f>Amnt_Deposited!G77*$F$10*(1-DOCF)*Textiles!D85</f>
        <v>21.591359999999998</v>
      </c>
      <c r="I82" s="460">
        <f>Amnt_Deposited!H77*$H$8*(1-DOCF)*Nappies!D85</f>
        <v>0</v>
      </c>
      <c r="J82" s="461">
        <f>Amnt_Deposited!I77*$H$9*(1-DOCF)*Sludge!D85</f>
        <v>0</v>
      </c>
      <c r="K82" s="462">
        <f>Amnt_Deposited!L77*$H$10*(1-DOCF)*Industry!D85</f>
        <v>0</v>
      </c>
      <c r="L82" s="459">
        <f>Amnt_Deposited!L77*Parameters!$E$46*$D$9*(1-DOCF)*Industry!D85</f>
        <v>0</v>
      </c>
      <c r="M82" s="460">
        <f>Amnt_Deposited!L77*Parameters!$E$47*$D$10*(1-DOCF)*Industry!D85</f>
        <v>0</v>
      </c>
      <c r="N82" s="394">
        <f t="shared" si="4"/>
        <v>215.46377999999999</v>
      </c>
      <c r="O82" s="396">
        <f t="shared" si="5"/>
        <v>15215.579702999998</v>
      </c>
    </row>
    <row r="83" spans="2:15" x14ac:dyDescent="0.25">
      <c r="B83" s="393">
        <f t="shared" si="6"/>
        <v>2017</v>
      </c>
      <c r="C83" s="457">
        <f>Amnt_Deposited!J78*$D$8*(1-DOCF)*MSW!C86</f>
        <v>0</v>
      </c>
      <c r="D83" s="458">
        <f>Amnt_Deposited!C78*$F$8*(1-DOCF)*Food!D86</f>
        <v>59.03887499999999</v>
      </c>
      <c r="E83" s="459">
        <f>Amnt_Deposited!D78*$F$9*(1-DOCF)*Garden!D86</f>
        <v>0</v>
      </c>
      <c r="F83" s="459">
        <f>Amnt_Deposited!E78*$D$9*(1-DOCF)*Paper!D86</f>
        <v>71.971199999999996</v>
      </c>
      <c r="G83" s="459">
        <f>Amnt_Deposited!F78*$D$10*(1-DOCF)*Wood!D86</f>
        <v>62.862344999999998</v>
      </c>
      <c r="H83" s="459">
        <f>Amnt_Deposited!G78*$F$10*(1-DOCF)*Textiles!D86</f>
        <v>21.591359999999998</v>
      </c>
      <c r="I83" s="460">
        <f>Amnt_Deposited!H78*$H$8*(1-DOCF)*Nappies!D86</f>
        <v>0</v>
      </c>
      <c r="J83" s="461">
        <f>Amnt_Deposited!I78*$H$9*(1-DOCF)*Sludge!D86</f>
        <v>0</v>
      </c>
      <c r="K83" s="462">
        <f>Amnt_Deposited!L78*$H$10*(1-DOCF)*Industry!D86</f>
        <v>0</v>
      </c>
      <c r="L83" s="459">
        <f>Amnt_Deposited!L78*Parameters!$E$46*$D$9*(1-DOCF)*Industry!D86</f>
        <v>0</v>
      </c>
      <c r="M83" s="460">
        <f>Amnt_Deposited!L78*Parameters!$E$47*$D$10*(1-DOCF)*Industry!D86</f>
        <v>0</v>
      </c>
      <c r="N83" s="394">
        <f t="shared" ref="N83:N106" si="7">IF(Select2=2,C83+J83+K83, D83+E83+F83+G83+H83+I83+J83+K83)</f>
        <v>215.46377999999999</v>
      </c>
      <c r="O83" s="396">
        <f t="shared" ref="O83:O106" si="8">O82+N83</f>
        <v>15431.043482999998</v>
      </c>
    </row>
    <row r="84" spans="2:15" x14ac:dyDescent="0.25">
      <c r="B84" s="393">
        <f t="shared" si="6"/>
        <v>2018</v>
      </c>
      <c r="C84" s="457">
        <f>Amnt_Deposited!J79*$D$8*(1-DOCF)*MSW!C87</f>
        <v>0</v>
      </c>
      <c r="D84" s="458">
        <f>Amnt_Deposited!C79*$F$8*(1-DOCF)*Food!D87</f>
        <v>59.03887499999999</v>
      </c>
      <c r="E84" s="459">
        <f>Amnt_Deposited!D79*$F$9*(1-DOCF)*Garden!D87</f>
        <v>0</v>
      </c>
      <c r="F84" s="459">
        <f>Amnt_Deposited!E79*$D$9*(1-DOCF)*Paper!D87</f>
        <v>71.971199999999996</v>
      </c>
      <c r="G84" s="459">
        <f>Amnt_Deposited!F79*$D$10*(1-DOCF)*Wood!D87</f>
        <v>62.862344999999998</v>
      </c>
      <c r="H84" s="459">
        <f>Amnt_Deposited!G79*$F$10*(1-DOCF)*Textiles!D87</f>
        <v>21.591359999999998</v>
      </c>
      <c r="I84" s="460">
        <f>Amnt_Deposited!H79*$H$8*(1-DOCF)*Nappies!D87</f>
        <v>0</v>
      </c>
      <c r="J84" s="461">
        <f>Amnt_Deposited!I79*$H$9*(1-DOCF)*Sludge!D87</f>
        <v>0</v>
      </c>
      <c r="K84" s="462">
        <f>Amnt_Deposited!L79*$H$10*(1-DOCF)*Industry!D87</f>
        <v>0</v>
      </c>
      <c r="L84" s="459">
        <f>Amnt_Deposited!L79*Parameters!$E$46*$D$9*(1-DOCF)*Industry!D87</f>
        <v>0</v>
      </c>
      <c r="M84" s="460">
        <f>Amnt_Deposited!L79*Parameters!$E$47*$D$10*(1-DOCF)*Industry!D87</f>
        <v>0</v>
      </c>
      <c r="N84" s="394">
        <f t="shared" si="7"/>
        <v>215.46377999999999</v>
      </c>
      <c r="O84" s="396">
        <f t="shared" si="8"/>
        <v>15646.507262999998</v>
      </c>
    </row>
    <row r="85" spans="2:15" x14ac:dyDescent="0.25">
      <c r="B85" s="393">
        <f t="shared" si="6"/>
        <v>2019</v>
      </c>
      <c r="C85" s="457">
        <f>Amnt_Deposited!J80*$D$8*(1-DOCF)*MSW!C88</f>
        <v>0</v>
      </c>
      <c r="D85" s="458">
        <f>Amnt_Deposited!C80*$F$8*(1-DOCF)*Food!D88</f>
        <v>59.03887499999999</v>
      </c>
      <c r="E85" s="459">
        <f>Amnt_Deposited!D80*$F$9*(1-DOCF)*Garden!D88</f>
        <v>0</v>
      </c>
      <c r="F85" s="459">
        <f>Amnt_Deposited!E80*$D$9*(1-DOCF)*Paper!D88</f>
        <v>71.971199999999996</v>
      </c>
      <c r="G85" s="459">
        <f>Amnt_Deposited!F80*$D$10*(1-DOCF)*Wood!D88</f>
        <v>62.862344999999998</v>
      </c>
      <c r="H85" s="459">
        <f>Amnt_Deposited!G80*$F$10*(1-DOCF)*Textiles!D88</f>
        <v>21.591359999999998</v>
      </c>
      <c r="I85" s="460">
        <f>Amnt_Deposited!H80*$H$8*(1-DOCF)*Nappies!D88</f>
        <v>0</v>
      </c>
      <c r="J85" s="461">
        <f>Amnt_Deposited!I80*$H$9*(1-DOCF)*Sludge!D88</f>
        <v>0</v>
      </c>
      <c r="K85" s="462">
        <f>Amnt_Deposited!L80*$H$10*(1-DOCF)*Industry!D88</f>
        <v>0</v>
      </c>
      <c r="L85" s="459">
        <f>Amnt_Deposited!L80*Parameters!$E$46*$D$9*(1-DOCF)*Industry!D88</f>
        <v>0</v>
      </c>
      <c r="M85" s="460">
        <f>Amnt_Deposited!L80*Parameters!$E$47*$D$10*(1-DOCF)*Industry!D88</f>
        <v>0</v>
      </c>
      <c r="N85" s="394">
        <f t="shared" si="7"/>
        <v>215.46377999999999</v>
      </c>
      <c r="O85" s="396">
        <f t="shared" si="8"/>
        <v>15861.971042999998</v>
      </c>
    </row>
    <row r="86" spans="2:15" x14ac:dyDescent="0.25">
      <c r="B86" s="393">
        <f t="shared" si="6"/>
        <v>2020</v>
      </c>
      <c r="C86" s="457">
        <f>Amnt_Deposited!J81*$D$8*(1-DOCF)*MSW!C89</f>
        <v>0</v>
      </c>
      <c r="D86" s="458">
        <f>Amnt_Deposited!C81*$F$8*(1-DOCF)*Food!D89</f>
        <v>59.03887499999999</v>
      </c>
      <c r="E86" s="459">
        <f>Amnt_Deposited!D81*$F$9*(1-DOCF)*Garden!D89</f>
        <v>0</v>
      </c>
      <c r="F86" s="459">
        <f>Amnt_Deposited!E81*$D$9*(1-DOCF)*Paper!D89</f>
        <v>71.971199999999996</v>
      </c>
      <c r="G86" s="459">
        <f>Amnt_Deposited!F81*$D$10*(1-DOCF)*Wood!D89</f>
        <v>62.862344999999998</v>
      </c>
      <c r="H86" s="459">
        <f>Amnt_Deposited!G81*$F$10*(1-DOCF)*Textiles!D89</f>
        <v>21.591359999999998</v>
      </c>
      <c r="I86" s="460">
        <f>Amnt_Deposited!H81*$H$8*(1-DOCF)*Nappies!D89</f>
        <v>0</v>
      </c>
      <c r="J86" s="461">
        <f>Amnt_Deposited!I81*$H$9*(1-DOCF)*Sludge!D89</f>
        <v>0</v>
      </c>
      <c r="K86" s="462">
        <f>Amnt_Deposited!L81*$H$10*(1-DOCF)*Industry!D89</f>
        <v>0</v>
      </c>
      <c r="L86" s="459">
        <f>Amnt_Deposited!L81*Parameters!$E$46*$D$9*(1-DOCF)*Industry!D89</f>
        <v>0</v>
      </c>
      <c r="M86" s="460">
        <f>Amnt_Deposited!L81*Parameters!$E$47*$D$10*(1-DOCF)*Industry!D89</f>
        <v>0</v>
      </c>
      <c r="N86" s="394">
        <f t="shared" si="7"/>
        <v>215.46377999999999</v>
      </c>
      <c r="O86" s="396">
        <f t="shared" si="8"/>
        <v>16077.434822999998</v>
      </c>
    </row>
    <row r="87" spans="2:15" x14ac:dyDescent="0.25">
      <c r="B87" s="393">
        <f t="shared" si="6"/>
        <v>2021</v>
      </c>
      <c r="C87" s="457">
        <f>Amnt_Deposited!J82*$D$8*(1-DOCF)*MSW!C90</f>
        <v>0</v>
      </c>
      <c r="D87" s="458">
        <f>Amnt_Deposited!C82*$F$8*(1-DOCF)*Food!D90</f>
        <v>59.03887499999999</v>
      </c>
      <c r="E87" s="459">
        <f>Amnt_Deposited!D82*$F$9*(1-DOCF)*Garden!D90</f>
        <v>0</v>
      </c>
      <c r="F87" s="459">
        <f>Amnt_Deposited!E82*$D$9*(1-DOCF)*Paper!D90</f>
        <v>71.971199999999996</v>
      </c>
      <c r="G87" s="459">
        <f>Amnt_Deposited!F82*$D$10*(1-DOCF)*Wood!D90</f>
        <v>62.862344999999998</v>
      </c>
      <c r="H87" s="459">
        <f>Amnt_Deposited!G82*$F$10*(1-DOCF)*Textiles!D90</f>
        <v>21.591359999999998</v>
      </c>
      <c r="I87" s="460">
        <f>Amnt_Deposited!H82*$H$8*(1-DOCF)*Nappies!D90</f>
        <v>0</v>
      </c>
      <c r="J87" s="461">
        <f>Amnt_Deposited!I82*$H$9*(1-DOCF)*Sludge!D90</f>
        <v>0</v>
      </c>
      <c r="K87" s="462">
        <f>Amnt_Deposited!L82*$H$10*(1-DOCF)*Industry!D90</f>
        <v>0</v>
      </c>
      <c r="L87" s="459">
        <f>Amnt_Deposited!L82*Parameters!$E$46*$D$9*(1-DOCF)*Industry!D90</f>
        <v>0</v>
      </c>
      <c r="M87" s="460">
        <f>Amnt_Deposited!L82*Parameters!$E$47*$D$10*(1-DOCF)*Industry!D90</f>
        <v>0</v>
      </c>
      <c r="N87" s="394">
        <f t="shared" si="7"/>
        <v>215.46377999999999</v>
      </c>
      <c r="O87" s="396">
        <f t="shared" si="8"/>
        <v>16292.898602999998</v>
      </c>
    </row>
    <row r="88" spans="2:15" x14ac:dyDescent="0.25">
      <c r="B88" s="393">
        <f t="shared" si="6"/>
        <v>2022</v>
      </c>
      <c r="C88" s="457">
        <f>Amnt_Deposited!J83*$D$8*(1-DOCF)*MSW!C91</f>
        <v>0</v>
      </c>
      <c r="D88" s="458">
        <f>Amnt_Deposited!C83*$F$8*(1-DOCF)*Food!D91</f>
        <v>59.03887499999999</v>
      </c>
      <c r="E88" s="459">
        <f>Amnt_Deposited!D83*$F$9*(1-DOCF)*Garden!D91</f>
        <v>0</v>
      </c>
      <c r="F88" s="459">
        <f>Amnt_Deposited!E83*$D$9*(1-DOCF)*Paper!D91</f>
        <v>71.971199999999996</v>
      </c>
      <c r="G88" s="459">
        <f>Amnt_Deposited!F83*$D$10*(1-DOCF)*Wood!D91</f>
        <v>62.862344999999998</v>
      </c>
      <c r="H88" s="459">
        <f>Amnt_Deposited!G83*$F$10*(1-DOCF)*Textiles!D91</f>
        <v>21.591359999999998</v>
      </c>
      <c r="I88" s="460">
        <f>Amnt_Deposited!H83*$H$8*(1-DOCF)*Nappies!D91</f>
        <v>0</v>
      </c>
      <c r="J88" s="461">
        <f>Amnt_Deposited!I83*$H$9*(1-DOCF)*Sludge!D91</f>
        <v>0</v>
      </c>
      <c r="K88" s="462">
        <f>Amnt_Deposited!L83*$H$10*(1-DOCF)*Industry!D91</f>
        <v>0</v>
      </c>
      <c r="L88" s="459">
        <f>Amnt_Deposited!L83*Parameters!$E$46*$D$9*(1-DOCF)*Industry!D91</f>
        <v>0</v>
      </c>
      <c r="M88" s="460">
        <f>Amnt_Deposited!L83*Parameters!$E$47*$D$10*(1-DOCF)*Industry!D91</f>
        <v>0</v>
      </c>
      <c r="N88" s="394">
        <f t="shared" si="7"/>
        <v>215.46377999999999</v>
      </c>
      <c r="O88" s="396">
        <f t="shared" si="8"/>
        <v>16508.362382999996</v>
      </c>
    </row>
    <row r="89" spans="2:15" x14ac:dyDescent="0.25">
      <c r="B89" s="393">
        <f t="shared" si="6"/>
        <v>2023</v>
      </c>
      <c r="C89" s="457">
        <f>Amnt_Deposited!J84*$D$8*(1-DOCF)*MSW!C92</f>
        <v>0</v>
      </c>
      <c r="D89" s="458">
        <f>Amnt_Deposited!C84*$F$8*(1-DOCF)*Food!D92</f>
        <v>59.03887499999999</v>
      </c>
      <c r="E89" s="459">
        <f>Amnt_Deposited!D84*$F$9*(1-DOCF)*Garden!D92</f>
        <v>0</v>
      </c>
      <c r="F89" s="459">
        <f>Amnt_Deposited!E84*$D$9*(1-DOCF)*Paper!D92</f>
        <v>71.971199999999996</v>
      </c>
      <c r="G89" s="459">
        <f>Amnt_Deposited!F84*$D$10*(1-DOCF)*Wood!D92</f>
        <v>62.862344999999998</v>
      </c>
      <c r="H89" s="459">
        <f>Amnt_Deposited!G84*$F$10*(1-DOCF)*Textiles!D92</f>
        <v>21.591359999999998</v>
      </c>
      <c r="I89" s="460">
        <f>Amnt_Deposited!H84*$H$8*(1-DOCF)*Nappies!D92</f>
        <v>0</v>
      </c>
      <c r="J89" s="461">
        <f>Amnt_Deposited!I84*$H$9*(1-DOCF)*Sludge!D92</f>
        <v>0</v>
      </c>
      <c r="K89" s="462">
        <f>Amnt_Deposited!L84*$H$10*(1-DOCF)*Industry!D92</f>
        <v>0</v>
      </c>
      <c r="L89" s="459">
        <f>Amnt_Deposited!L84*Parameters!$E$46*$D$9*(1-DOCF)*Industry!D92</f>
        <v>0</v>
      </c>
      <c r="M89" s="460">
        <f>Amnt_Deposited!L84*Parameters!$E$47*$D$10*(1-DOCF)*Industry!D92</f>
        <v>0</v>
      </c>
      <c r="N89" s="394">
        <f t="shared" si="7"/>
        <v>215.46377999999999</v>
      </c>
      <c r="O89" s="396">
        <f t="shared" si="8"/>
        <v>16723.826162999994</v>
      </c>
    </row>
    <row r="90" spans="2:15" x14ac:dyDescent="0.25">
      <c r="B90" s="393">
        <f t="shared" si="6"/>
        <v>2024</v>
      </c>
      <c r="C90" s="457">
        <f>Amnt_Deposited!J85*$D$8*(1-DOCF)*MSW!C93</f>
        <v>0</v>
      </c>
      <c r="D90" s="458">
        <f>Amnt_Deposited!C85*$F$8*(1-DOCF)*Food!D93</f>
        <v>59.03887499999999</v>
      </c>
      <c r="E90" s="459">
        <f>Amnt_Deposited!D85*$F$9*(1-DOCF)*Garden!D93</f>
        <v>0</v>
      </c>
      <c r="F90" s="459">
        <f>Amnt_Deposited!E85*$D$9*(1-DOCF)*Paper!D93</f>
        <v>71.971199999999996</v>
      </c>
      <c r="G90" s="459">
        <f>Amnt_Deposited!F85*$D$10*(1-DOCF)*Wood!D93</f>
        <v>62.862344999999998</v>
      </c>
      <c r="H90" s="459">
        <f>Amnt_Deposited!G85*$F$10*(1-DOCF)*Textiles!D93</f>
        <v>21.591359999999998</v>
      </c>
      <c r="I90" s="460">
        <f>Amnt_Deposited!H85*$H$8*(1-DOCF)*Nappies!D93</f>
        <v>0</v>
      </c>
      <c r="J90" s="461">
        <f>Amnt_Deposited!I85*$H$9*(1-DOCF)*Sludge!D93</f>
        <v>0</v>
      </c>
      <c r="K90" s="462">
        <f>Amnt_Deposited!L85*$H$10*(1-DOCF)*Industry!D93</f>
        <v>0</v>
      </c>
      <c r="L90" s="459">
        <f>Amnt_Deposited!L85*Parameters!$E$46*$D$9*(1-DOCF)*Industry!D93</f>
        <v>0</v>
      </c>
      <c r="M90" s="460">
        <f>Amnt_Deposited!L85*Parameters!$E$47*$D$10*(1-DOCF)*Industry!D93</f>
        <v>0</v>
      </c>
      <c r="N90" s="394">
        <f t="shared" si="7"/>
        <v>215.46377999999999</v>
      </c>
      <c r="O90" s="396">
        <f t="shared" si="8"/>
        <v>16939.289942999992</v>
      </c>
    </row>
    <row r="91" spans="2:15" x14ac:dyDescent="0.25">
      <c r="B91" s="393">
        <f t="shared" si="6"/>
        <v>2025</v>
      </c>
      <c r="C91" s="457">
        <f>Amnt_Deposited!J86*$D$8*(1-DOCF)*MSW!C94</f>
        <v>0</v>
      </c>
      <c r="D91" s="458">
        <f>Amnt_Deposited!C86*$F$8*(1-DOCF)*Food!D94</f>
        <v>59.03887499999999</v>
      </c>
      <c r="E91" s="459">
        <f>Amnt_Deposited!D86*$F$9*(1-DOCF)*Garden!D94</f>
        <v>0</v>
      </c>
      <c r="F91" s="459">
        <f>Amnt_Deposited!E86*$D$9*(1-DOCF)*Paper!D94</f>
        <v>71.971199999999996</v>
      </c>
      <c r="G91" s="459">
        <f>Amnt_Deposited!F86*$D$10*(1-DOCF)*Wood!D94</f>
        <v>62.862344999999998</v>
      </c>
      <c r="H91" s="459">
        <f>Amnt_Deposited!G86*$F$10*(1-DOCF)*Textiles!D94</f>
        <v>21.591359999999998</v>
      </c>
      <c r="I91" s="460">
        <f>Amnt_Deposited!H86*$H$8*(1-DOCF)*Nappies!D94</f>
        <v>0</v>
      </c>
      <c r="J91" s="461">
        <f>Amnt_Deposited!I86*$H$9*(1-DOCF)*Sludge!D94</f>
        <v>0</v>
      </c>
      <c r="K91" s="462">
        <f>Amnt_Deposited!L86*$H$10*(1-DOCF)*Industry!D94</f>
        <v>0</v>
      </c>
      <c r="L91" s="459">
        <f>Amnt_Deposited!L86*Parameters!$E$46*$D$9*(1-DOCF)*Industry!D94</f>
        <v>0</v>
      </c>
      <c r="M91" s="460">
        <f>Amnt_Deposited!L86*Parameters!$E$47*$D$10*(1-DOCF)*Industry!D94</f>
        <v>0</v>
      </c>
      <c r="N91" s="394">
        <f t="shared" si="7"/>
        <v>215.46377999999999</v>
      </c>
      <c r="O91" s="396">
        <f t="shared" si="8"/>
        <v>17154.753722999991</v>
      </c>
    </row>
    <row r="92" spans="2:15" x14ac:dyDescent="0.25">
      <c r="B92" s="393">
        <f t="shared" si="6"/>
        <v>2026</v>
      </c>
      <c r="C92" s="457">
        <f>Amnt_Deposited!J87*$D$8*(1-DOCF)*MSW!C95</f>
        <v>0</v>
      </c>
      <c r="D92" s="458">
        <f>Amnt_Deposited!C87*$F$8*(1-DOCF)*Food!D95</f>
        <v>59.03887499999999</v>
      </c>
      <c r="E92" s="459">
        <f>Amnt_Deposited!D87*$F$9*(1-DOCF)*Garden!D95</f>
        <v>0</v>
      </c>
      <c r="F92" s="459">
        <f>Amnt_Deposited!E87*$D$9*(1-DOCF)*Paper!D95</f>
        <v>71.971199999999996</v>
      </c>
      <c r="G92" s="459">
        <f>Amnt_Deposited!F87*$D$10*(1-DOCF)*Wood!D95</f>
        <v>62.862344999999998</v>
      </c>
      <c r="H92" s="459">
        <f>Amnt_Deposited!G87*$F$10*(1-DOCF)*Textiles!D95</f>
        <v>21.591359999999998</v>
      </c>
      <c r="I92" s="460">
        <f>Amnt_Deposited!H87*$H$8*(1-DOCF)*Nappies!D95</f>
        <v>0</v>
      </c>
      <c r="J92" s="461">
        <f>Amnt_Deposited!I87*$H$9*(1-DOCF)*Sludge!D95</f>
        <v>0</v>
      </c>
      <c r="K92" s="462">
        <f>Amnt_Deposited!L87*$H$10*(1-DOCF)*Industry!D95</f>
        <v>0</v>
      </c>
      <c r="L92" s="459">
        <f>Amnt_Deposited!L87*Parameters!$E$46*$D$9*(1-DOCF)*Industry!D95</f>
        <v>0</v>
      </c>
      <c r="M92" s="460">
        <f>Amnt_Deposited!L87*Parameters!$E$47*$D$10*(1-DOCF)*Industry!D95</f>
        <v>0</v>
      </c>
      <c r="N92" s="394">
        <f t="shared" si="7"/>
        <v>215.46377999999999</v>
      </c>
      <c r="O92" s="396">
        <f t="shared" si="8"/>
        <v>17370.217502999989</v>
      </c>
    </row>
    <row r="93" spans="2:15" x14ac:dyDescent="0.25">
      <c r="B93" s="393">
        <f t="shared" si="6"/>
        <v>2027</v>
      </c>
      <c r="C93" s="457">
        <f>Amnt_Deposited!J88*$D$8*(1-DOCF)*MSW!C96</f>
        <v>0</v>
      </c>
      <c r="D93" s="458">
        <f>Amnt_Deposited!C88*$F$8*(1-DOCF)*Food!D96</f>
        <v>59.03887499999999</v>
      </c>
      <c r="E93" s="459">
        <f>Amnt_Deposited!D88*$F$9*(1-DOCF)*Garden!D96</f>
        <v>0</v>
      </c>
      <c r="F93" s="459">
        <f>Amnt_Deposited!E88*$D$9*(1-DOCF)*Paper!D96</f>
        <v>71.971199999999996</v>
      </c>
      <c r="G93" s="459">
        <f>Amnt_Deposited!F88*$D$10*(1-DOCF)*Wood!D96</f>
        <v>62.862344999999998</v>
      </c>
      <c r="H93" s="459">
        <f>Amnt_Deposited!G88*$F$10*(1-DOCF)*Textiles!D96</f>
        <v>21.591359999999998</v>
      </c>
      <c r="I93" s="460">
        <f>Amnt_Deposited!H88*$H$8*(1-DOCF)*Nappies!D96</f>
        <v>0</v>
      </c>
      <c r="J93" s="461">
        <f>Amnt_Deposited!I88*$H$9*(1-DOCF)*Sludge!D96</f>
        <v>0</v>
      </c>
      <c r="K93" s="462">
        <f>Amnt_Deposited!L88*$H$10*(1-DOCF)*Industry!D96</f>
        <v>0</v>
      </c>
      <c r="L93" s="459">
        <f>Amnt_Deposited!L88*Parameters!$E$46*$D$9*(1-DOCF)*Industry!D96</f>
        <v>0</v>
      </c>
      <c r="M93" s="460">
        <f>Amnt_Deposited!L88*Parameters!$E$47*$D$10*(1-DOCF)*Industry!D96</f>
        <v>0</v>
      </c>
      <c r="N93" s="394">
        <f t="shared" si="7"/>
        <v>215.46377999999999</v>
      </c>
      <c r="O93" s="396">
        <f t="shared" si="8"/>
        <v>17585.681282999987</v>
      </c>
    </row>
    <row r="94" spans="2:15" x14ac:dyDescent="0.25">
      <c r="B94" s="393">
        <f t="shared" si="6"/>
        <v>2028</v>
      </c>
      <c r="C94" s="457">
        <f>Amnt_Deposited!J89*$D$8*(1-DOCF)*MSW!C97</f>
        <v>0</v>
      </c>
      <c r="D94" s="458">
        <f>Amnt_Deposited!C89*$F$8*(1-DOCF)*Food!D97</f>
        <v>59.03887499999999</v>
      </c>
      <c r="E94" s="459">
        <f>Amnt_Deposited!D89*$F$9*(1-DOCF)*Garden!D97</f>
        <v>0</v>
      </c>
      <c r="F94" s="459">
        <f>Amnt_Deposited!E89*$D$9*(1-DOCF)*Paper!D97</f>
        <v>71.971199999999996</v>
      </c>
      <c r="G94" s="459">
        <f>Amnt_Deposited!F89*$D$10*(1-DOCF)*Wood!D97</f>
        <v>62.862344999999998</v>
      </c>
      <c r="H94" s="459">
        <f>Amnt_Deposited!G89*$F$10*(1-DOCF)*Textiles!D97</f>
        <v>21.591359999999998</v>
      </c>
      <c r="I94" s="460">
        <f>Amnt_Deposited!H89*$H$8*(1-DOCF)*Nappies!D97</f>
        <v>0</v>
      </c>
      <c r="J94" s="461">
        <f>Amnt_Deposited!I89*$H$9*(1-DOCF)*Sludge!D97</f>
        <v>0</v>
      </c>
      <c r="K94" s="462">
        <f>Amnt_Deposited!L89*$H$10*(1-DOCF)*Industry!D97</f>
        <v>0</v>
      </c>
      <c r="L94" s="459">
        <f>Amnt_Deposited!L89*Parameters!$E$46*$D$9*(1-DOCF)*Industry!D97</f>
        <v>0</v>
      </c>
      <c r="M94" s="460">
        <f>Amnt_Deposited!L89*Parameters!$E$47*$D$10*(1-DOCF)*Industry!D97</f>
        <v>0</v>
      </c>
      <c r="N94" s="394">
        <f t="shared" si="7"/>
        <v>215.46377999999999</v>
      </c>
      <c r="O94" s="396">
        <f t="shared" si="8"/>
        <v>17801.145062999985</v>
      </c>
    </row>
    <row r="95" spans="2:15" x14ac:dyDescent="0.25">
      <c r="B95" s="393">
        <f t="shared" si="6"/>
        <v>2029</v>
      </c>
      <c r="C95" s="457">
        <f>Amnt_Deposited!J90*$D$8*(1-DOCF)*MSW!C98</f>
        <v>0</v>
      </c>
      <c r="D95" s="458">
        <f>Amnt_Deposited!C90*$F$8*(1-DOCF)*Food!D98</f>
        <v>59.03887499999999</v>
      </c>
      <c r="E95" s="459">
        <f>Amnt_Deposited!D90*$F$9*(1-DOCF)*Garden!D98</f>
        <v>0</v>
      </c>
      <c r="F95" s="459">
        <f>Amnt_Deposited!E90*$D$9*(1-DOCF)*Paper!D98</f>
        <v>71.971199999999996</v>
      </c>
      <c r="G95" s="459">
        <f>Amnt_Deposited!F90*$D$10*(1-DOCF)*Wood!D98</f>
        <v>62.862344999999998</v>
      </c>
      <c r="H95" s="459">
        <f>Amnt_Deposited!G90*$F$10*(1-DOCF)*Textiles!D98</f>
        <v>21.591359999999998</v>
      </c>
      <c r="I95" s="460">
        <f>Amnt_Deposited!H90*$H$8*(1-DOCF)*Nappies!D98</f>
        <v>0</v>
      </c>
      <c r="J95" s="461">
        <f>Amnt_Deposited!I90*$H$9*(1-DOCF)*Sludge!D98</f>
        <v>0</v>
      </c>
      <c r="K95" s="462">
        <f>Amnt_Deposited!L90*$H$10*(1-DOCF)*Industry!D98</f>
        <v>0</v>
      </c>
      <c r="L95" s="459">
        <f>Amnt_Deposited!L90*Parameters!$E$46*$D$9*(1-DOCF)*Industry!D98</f>
        <v>0</v>
      </c>
      <c r="M95" s="460">
        <f>Amnt_Deposited!L90*Parameters!$E$47*$D$10*(1-DOCF)*Industry!D98</f>
        <v>0</v>
      </c>
      <c r="N95" s="394">
        <f t="shared" si="7"/>
        <v>215.46377999999999</v>
      </c>
      <c r="O95" s="396">
        <f t="shared" si="8"/>
        <v>18016.608842999984</v>
      </c>
    </row>
    <row r="96" spans="2:15" x14ac:dyDescent="0.25">
      <c r="B96" s="393">
        <f t="shared" si="6"/>
        <v>2030</v>
      </c>
      <c r="C96" s="457">
        <f>Amnt_Deposited!J91*$D$8*(1-DOCF)*MSW!C99</f>
        <v>0</v>
      </c>
      <c r="D96" s="458">
        <f>Amnt_Deposited!C91*$F$8*(1-DOCF)*Food!D99</f>
        <v>59.03887499999999</v>
      </c>
      <c r="E96" s="459">
        <f>Amnt_Deposited!D91*$F$9*(1-DOCF)*Garden!D99</f>
        <v>0</v>
      </c>
      <c r="F96" s="459">
        <f>Amnt_Deposited!E91*$D$9*(1-DOCF)*Paper!D99</f>
        <v>71.971199999999996</v>
      </c>
      <c r="G96" s="459">
        <f>Amnt_Deposited!F91*$D$10*(1-DOCF)*Wood!D99</f>
        <v>62.862344999999998</v>
      </c>
      <c r="H96" s="459">
        <f>Amnt_Deposited!G91*$F$10*(1-DOCF)*Textiles!D99</f>
        <v>21.591359999999998</v>
      </c>
      <c r="I96" s="460">
        <f>Amnt_Deposited!H91*$H$8*(1-DOCF)*Nappies!D99</f>
        <v>0</v>
      </c>
      <c r="J96" s="461">
        <f>Amnt_Deposited!I91*$H$9*(1-DOCF)*Sludge!D99</f>
        <v>0</v>
      </c>
      <c r="K96" s="462">
        <f>Amnt_Deposited!L91*$H$10*(1-DOCF)*Industry!D99</f>
        <v>0</v>
      </c>
      <c r="L96" s="459">
        <f>Amnt_Deposited!L91*Parameters!$E$46*$D$9*(1-DOCF)*Industry!D99</f>
        <v>0</v>
      </c>
      <c r="M96" s="460">
        <f>Amnt_Deposited!L91*Parameters!$E$47*$D$10*(1-DOCF)*Industry!D99</f>
        <v>0</v>
      </c>
      <c r="N96" s="394">
        <f t="shared" si="7"/>
        <v>215.46377999999999</v>
      </c>
      <c r="O96" s="396">
        <f t="shared" si="8"/>
        <v>18232.072622999982</v>
      </c>
    </row>
    <row r="97" spans="2:15" x14ac:dyDescent="0.25">
      <c r="B97" s="393">
        <f t="shared" si="6"/>
        <v>2031</v>
      </c>
      <c r="C97" s="457">
        <f>Amnt_Deposited!J92*$D$8*(1-DOCF)*MSW!C100</f>
        <v>0</v>
      </c>
      <c r="D97" s="458">
        <f>Amnt_Deposited!C92*$F$8*(1-DOCF)*Food!D100</f>
        <v>59.03887499999999</v>
      </c>
      <c r="E97" s="459">
        <f>Amnt_Deposited!D92*$F$9*(1-DOCF)*Garden!D100</f>
        <v>0</v>
      </c>
      <c r="F97" s="459">
        <f>Amnt_Deposited!E92*$D$9*(1-DOCF)*Paper!D100</f>
        <v>71.971199999999996</v>
      </c>
      <c r="G97" s="459">
        <f>Amnt_Deposited!F92*$D$10*(1-DOCF)*Wood!D100</f>
        <v>62.862344999999998</v>
      </c>
      <c r="H97" s="459">
        <f>Amnt_Deposited!G92*$F$10*(1-DOCF)*Textiles!D100</f>
        <v>21.591359999999998</v>
      </c>
      <c r="I97" s="460">
        <f>Amnt_Deposited!H92*$H$8*(1-DOCF)*Nappies!D100</f>
        <v>0</v>
      </c>
      <c r="J97" s="461">
        <f>Amnt_Deposited!I92*$H$9*(1-DOCF)*Sludge!D100</f>
        <v>0</v>
      </c>
      <c r="K97" s="462">
        <f>Amnt_Deposited!L92*$H$10*(1-DOCF)*Industry!D100</f>
        <v>0</v>
      </c>
      <c r="L97" s="459">
        <f>Amnt_Deposited!L92*Parameters!$E$46*$D$9*(1-DOCF)*Industry!D100</f>
        <v>0</v>
      </c>
      <c r="M97" s="460">
        <f>Amnt_Deposited!L92*Parameters!$E$47*$D$10*(1-DOCF)*Industry!D100</f>
        <v>0</v>
      </c>
      <c r="N97" s="394">
        <f t="shared" si="7"/>
        <v>215.46377999999999</v>
      </c>
      <c r="O97" s="396">
        <f t="shared" si="8"/>
        <v>18447.53640299998</v>
      </c>
    </row>
    <row r="98" spans="2:15" x14ac:dyDescent="0.25">
      <c r="B98" s="393">
        <f t="shared" si="6"/>
        <v>2032</v>
      </c>
      <c r="C98" s="457">
        <f>Amnt_Deposited!J93*$D$8*(1-DOCF)*MSW!C101</f>
        <v>0</v>
      </c>
      <c r="D98" s="458">
        <f>Amnt_Deposited!C93*$F$8*(1-DOCF)*Food!D101</f>
        <v>59.03887499999999</v>
      </c>
      <c r="E98" s="459">
        <f>Amnt_Deposited!D93*$F$9*(1-DOCF)*Garden!D101</f>
        <v>0</v>
      </c>
      <c r="F98" s="459">
        <f>Amnt_Deposited!E93*$D$9*(1-DOCF)*Paper!D101</f>
        <v>71.971199999999996</v>
      </c>
      <c r="G98" s="459">
        <f>Amnt_Deposited!F93*$D$10*(1-DOCF)*Wood!D101</f>
        <v>62.862344999999998</v>
      </c>
      <c r="H98" s="459">
        <f>Amnt_Deposited!G93*$F$10*(1-DOCF)*Textiles!D101</f>
        <v>21.591359999999998</v>
      </c>
      <c r="I98" s="460">
        <f>Amnt_Deposited!H93*$H$8*(1-DOCF)*Nappies!D101</f>
        <v>0</v>
      </c>
      <c r="J98" s="461">
        <f>Amnt_Deposited!I93*$H$9*(1-DOCF)*Sludge!D101</f>
        <v>0</v>
      </c>
      <c r="K98" s="462">
        <f>Amnt_Deposited!L93*$H$10*(1-DOCF)*Industry!D101</f>
        <v>0</v>
      </c>
      <c r="L98" s="459">
        <f>Amnt_Deposited!L93*Parameters!$E$46*$D$9*(1-DOCF)*Industry!D101</f>
        <v>0</v>
      </c>
      <c r="M98" s="460">
        <f>Amnt_Deposited!L93*Parameters!$E$47*$D$10*(1-DOCF)*Industry!D101</f>
        <v>0</v>
      </c>
      <c r="N98" s="394">
        <f t="shared" si="7"/>
        <v>215.46377999999999</v>
      </c>
      <c r="O98" s="396">
        <f t="shared" si="8"/>
        <v>18663.000182999978</v>
      </c>
    </row>
    <row r="99" spans="2:15" x14ac:dyDescent="0.25">
      <c r="B99" s="393">
        <f t="shared" si="6"/>
        <v>2033</v>
      </c>
      <c r="C99" s="457">
        <f>Amnt_Deposited!J94*$D$8*(1-DOCF)*MSW!C102</f>
        <v>0</v>
      </c>
      <c r="D99" s="458">
        <f>Amnt_Deposited!C94*$F$8*(1-DOCF)*Food!D102</f>
        <v>59.03887499999999</v>
      </c>
      <c r="E99" s="459">
        <f>Amnt_Deposited!D94*$F$9*(1-DOCF)*Garden!D102</f>
        <v>0</v>
      </c>
      <c r="F99" s="459">
        <f>Amnt_Deposited!E94*$D$9*(1-DOCF)*Paper!D102</f>
        <v>71.971199999999996</v>
      </c>
      <c r="G99" s="459">
        <f>Amnt_Deposited!F94*$D$10*(1-DOCF)*Wood!D102</f>
        <v>62.862344999999998</v>
      </c>
      <c r="H99" s="459">
        <f>Amnt_Deposited!G94*$F$10*(1-DOCF)*Textiles!D102</f>
        <v>21.591359999999998</v>
      </c>
      <c r="I99" s="460">
        <f>Amnt_Deposited!H94*$H$8*(1-DOCF)*Nappies!D102</f>
        <v>0</v>
      </c>
      <c r="J99" s="461">
        <f>Amnt_Deposited!I94*$H$9*(1-DOCF)*Sludge!D102</f>
        <v>0</v>
      </c>
      <c r="K99" s="462">
        <f>Amnt_Deposited!L94*$H$10*(1-DOCF)*Industry!D102</f>
        <v>0</v>
      </c>
      <c r="L99" s="459">
        <f>Amnt_Deposited!L94*Parameters!$E$46*$D$9*(1-DOCF)*Industry!D102</f>
        <v>0</v>
      </c>
      <c r="M99" s="460">
        <f>Amnt_Deposited!L94*Parameters!$E$47*$D$10*(1-DOCF)*Industry!D102</f>
        <v>0</v>
      </c>
      <c r="N99" s="394">
        <f t="shared" si="7"/>
        <v>215.46377999999999</v>
      </c>
      <c r="O99" s="396">
        <f t="shared" si="8"/>
        <v>18878.463962999977</v>
      </c>
    </row>
    <row r="100" spans="2:15" x14ac:dyDescent="0.25">
      <c r="B100" s="393">
        <f t="shared" si="6"/>
        <v>2034</v>
      </c>
      <c r="C100" s="457">
        <f>Amnt_Deposited!J95*$D$8*(1-DOCF)*MSW!C103</f>
        <v>0</v>
      </c>
      <c r="D100" s="458">
        <f>Amnt_Deposited!C95*$F$8*(1-DOCF)*Food!D103</f>
        <v>59.03887499999999</v>
      </c>
      <c r="E100" s="459">
        <f>Amnt_Deposited!D95*$F$9*(1-DOCF)*Garden!D103</f>
        <v>0</v>
      </c>
      <c r="F100" s="459">
        <f>Amnt_Deposited!E95*$D$9*(1-DOCF)*Paper!D103</f>
        <v>71.971199999999996</v>
      </c>
      <c r="G100" s="459">
        <f>Amnt_Deposited!F95*$D$10*(1-DOCF)*Wood!D103</f>
        <v>62.862344999999998</v>
      </c>
      <c r="H100" s="459">
        <f>Amnt_Deposited!G95*$F$10*(1-DOCF)*Textiles!D103</f>
        <v>21.591359999999998</v>
      </c>
      <c r="I100" s="460">
        <f>Amnt_Deposited!H95*$H$8*(1-DOCF)*Nappies!D103</f>
        <v>0</v>
      </c>
      <c r="J100" s="461">
        <f>Amnt_Deposited!I95*$H$9*(1-DOCF)*Sludge!D103</f>
        <v>0</v>
      </c>
      <c r="K100" s="462">
        <f>Amnt_Deposited!L95*$H$10*(1-DOCF)*Industry!D103</f>
        <v>0</v>
      </c>
      <c r="L100" s="459">
        <f>Amnt_Deposited!L95*Parameters!$E$46*$D$9*(1-DOCF)*Industry!D103</f>
        <v>0</v>
      </c>
      <c r="M100" s="460">
        <f>Amnt_Deposited!L95*Parameters!$E$47*$D$10*(1-DOCF)*Industry!D103</f>
        <v>0</v>
      </c>
      <c r="N100" s="394">
        <f t="shared" si="7"/>
        <v>215.46377999999999</v>
      </c>
      <c r="O100" s="396">
        <f t="shared" si="8"/>
        <v>19093.927742999975</v>
      </c>
    </row>
    <row r="101" spans="2:15" x14ac:dyDescent="0.25">
      <c r="B101" s="393">
        <f t="shared" si="6"/>
        <v>2035</v>
      </c>
      <c r="C101" s="457">
        <f>Amnt_Deposited!J96*$D$8*(1-DOCF)*MSW!C104</f>
        <v>0</v>
      </c>
      <c r="D101" s="458">
        <f>Amnt_Deposited!C96*$F$8*(1-DOCF)*Food!D104</f>
        <v>59.03887499999999</v>
      </c>
      <c r="E101" s="459">
        <f>Amnt_Deposited!D96*$F$9*(1-DOCF)*Garden!D104</f>
        <v>0</v>
      </c>
      <c r="F101" s="459">
        <f>Amnt_Deposited!E96*$D$9*(1-DOCF)*Paper!D104</f>
        <v>71.971199999999996</v>
      </c>
      <c r="G101" s="459">
        <f>Amnt_Deposited!F96*$D$10*(1-DOCF)*Wood!D104</f>
        <v>62.862344999999998</v>
      </c>
      <c r="H101" s="459">
        <f>Amnt_Deposited!G96*$F$10*(1-DOCF)*Textiles!D104</f>
        <v>21.591359999999998</v>
      </c>
      <c r="I101" s="460">
        <f>Amnt_Deposited!H96*$H$8*(1-DOCF)*Nappies!D104</f>
        <v>0</v>
      </c>
      <c r="J101" s="461">
        <f>Amnt_Deposited!I96*$H$9*(1-DOCF)*Sludge!D104</f>
        <v>0</v>
      </c>
      <c r="K101" s="462">
        <f>Amnt_Deposited!L96*$H$10*(1-DOCF)*Industry!D104</f>
        <v>0</v>
      </c>
      <c r="L101" s="459">
        <f>Amnt_Deposited!L96*Parameters!$E$46*$D$9*(1-DOCF)*Industry!D104</f>
        <v>0</v>
      </c>
      <c r="M101" s="460">
        <f>Amnt_Deposited!L96*Parameters!$E$47*$D$10*(1-DOCF)*Industry!D104</f>
        <v>0</v>
      </c>
      <c r="N101" s="394">
        <f t="shared" si="7"/>
        <v>215.46377999999999</v>
      </c>
      <c r="O101" s="396">
        <f t="shared" si="8"/>
        <v>19309.391522999973</v>
      </c>
    </row>
    <row r="102" spans="2:15" x14ac:dyDescent="0.25">
      <c r="B102" s="393">
        <f t="shared" si="6"/>
        <v>2036</v>
      </c>
      <c r="C102" s="457">
        <f>Amnt_Deposited!J97*$D$8*(1-DOCF)*MSW!C105</f>
        <v>0</v>
      </c>
      <c r="D102" s="458">
        <f>Amnt_Deposited!C97*$F$8*(1-DOCF)*Food!D105</f>
        <v>59.03887499999999</v>
      </c>
      <c r="E102" s="459">
        <f>Amnt_Deposited!D97*$F$9*(1-DOCF)*Garden!D105</f>
        <v>0</v>
      </c>
      <c r="F102" s="459">
        <f>Amnt_Deposited!E97*$D$9*(1-DOCF)*Paper!D105</f>
        <v>71.971199999999996</v>
      </c>
      <c r="G102" s="459">
        <f>Amnt_Deposited!F97*$D$10*(1-DOCF)*Wood!D105</f>
        <v>62.862344999999998</v>
      </c>
      <c r="H102" s="459">
        <f>Amnt_Deposited!G97*$F$10*(1-DOCF)*Textiles!D105</f>
        <v>21.591359999999998</v>
      </c>
      <c r="I102" s="460">
        <f>Amnt_Deposited!H97*$H$8*(1-DOCF)*Nappies!D105</f>
        <v>0</v>
      </c>
      <c r="J102" s="461">
        <f>Amnt_Deposited!I97*$H$9*(1-DOCF)*Sludge!D105</f>
        <v>0</v>
      </c>
      <c r="K102" s="462">
        <f>Amnt_Deposited!L97*$H$10*(1-DOCF)*Industry!D105</f>
        <v>0</v>
      </c>
      <c r="L102" s="459">
        <f>Amnt_Deposited!L97*Parameters!$E$46*$D$9*(1-DOCF)*Industry!D105</f>
        <v>0</v>
      </c>
      <c r="M102" s="460">
        <f>Amnt_Deposited!L97*Parameters!$E$47*$D$10*(1-DOCF)*Industry!D105</f>
        <v>0</v>
      </c>
      <c r="N102" s="394">
        <f t="shared" si="7"/>
        <v>215.46377999999999</v>
      </c>
      <c r="O102" s="396">
        <f t="shared" si="8"/>
        <v>19524.855302999971</v>
      </c>
    </row>
    <row r="103" spans="2:15" x14ac:dyDescent="0.25">
      <c r="B103" s="393">
        <f t="shared" si="6"/>
        <v>2037</v>
      </c>
      <c r="C103" s="457">
        <f>Amnt_Deposited!J98*$D$8*(1-DOCF)*MSW!C106</f>
        <v>0</v>
      </c>
      <c r="D103" s="458">
        <f>Amnt_Deposited!C98*$F$8*(1-DOCF)*Food!D106</f>
        <v>59.03887499999999</v>
      </c>
      <c r="E103" s="459">
        <f>Amnt_Deposited!D98*$F$9*(1-DOCF)*Garden!D106</f>
        <v>0</v>
      </c>
      <c r="F103" s="459">
        <f>Amnt_Deposited!E98*$D$9*(1-DOCF)*Paper!D106</f>
        <v>71.971199999999996</v>
      </c>
      <c r="G103" s="459">
        <f>Amnt_Deposited!F98*$D$10*(1-DOCF)*Wood!D106</f>
        <v>62.862344999999998</v>
      </c>
      <c r="H103" s="459">
        <f>Amnt_Deposited!G98*$F$10*(1-DOCF)*Textiles!D106</f>
        <v>21.591359999999998</v>
      </c>
      <c r="I103" s="460">
        <f>Amnt_Deposited!H98*$H$8*(1-DOCF)*Nappies!D106</f>
        <v>0</v>
      </c>
      <c r="J103" s="461">
        <f>Amnt_Deposited!I98*$H$9*(1-DOCF)*Sludge!D106</f>
        <v>0</v>
      </c>
      <c r="K103" s="462">
        <f>Amnt_Deposited!L98*$H$10*(1-DOCF)*Industry!D106</f>
        <v>0</v>
      </c>
      <c r="L103" s="459">
        <f>Amnt_Deposited!L98*Parameters!$E$46*$D$9*(1-DOCF)*Industry!D106</f>
        <v>0</v>
      </c>
      <c r="M103" s="460">
        <f>Amnt_Deposited!L98*Parameters!$E$47*$D$10*(1-DOCF)*Industry!D106</f>
        <v>0</v>
      </c>
      <c r="N103" s="394">
        <f t="shared" si="7"/>
        <v>215.46377999999999</v>
      </c>
      <c r="O103" s="396">
        <f t="shared" si="8"/>
        <v>19740.319082999969</v>
      </c>
    </row>
    <row r="104" spans="2:15" x14ac:dyDescent="0.25">
      <c r="B104" s="393">
        <f t="shared" si="6"/>
        <v>2038</v>
      </c>
      <c r="C104" s="457">
        <f>Amnt_Deposited!J99*$D$8*(1-DOCF)*MSW!C107</f>
        <v>0</v>
      </c>
      <c r="D104" s="458">
        <f>Amnt_Deposited!C99*$F$8*(1-DOCF)*Food!D107</f>
        <v>59.03887499999999</v>
      </c>
      <c r="E104" s="459">
        <f>Amnt_Deposited!D99*$F$9*(1-DOCF)*Garden!D107</f>
        <v>0</v>
      </c>
      <c r="F104" s="459">
        <f>Amnt_Deposited!E99*$D$9*(1-DOCF)*Paper!D107</f>
        <v>71.971199999999996</v>
      </c>
      <c r="G104" s="459">
        <f>Amnt_Deposited!F99*$D$10*(1-DOCF)*Wood!D107</f>
        <v>62.862344999999998</v>
      </c>
      <c r="H104" s="459">
        <f>Amnt_Deposited!G99*$F$10*(1-DOCF)*Textiles!D107</f>
        <v>21.591359999999998</v>
      </c>
      <c r="I104" s="460">
        <f>Amnt_Deposited!H99*$H$8*(1-DOCF)*Nappies!D107</f>
        <v>0</v>
      </c>
      <c r="J104" s="461">
        <f>Amnt_Deposited!I99*$H$9*(1-DOCF)*Sludge!D107</f>
        <v>0</v>
      </c>
      <c r="K104" s="462">
        <f>Amnt_Deposited!L99*$H$10*(1-DOCF)*Industry!D107</f>
        <v>0</v>
      </c>
      <c r="L104" s="459">
        <f>Amnt_Deposited!L99*Parameters!$E$46*$D$9*(1-DOCF)*Industry!D107</f>
        <v>0</v>
      </c>
      <c r="M104" s="460">
        <f>Amnt_Deposited!L99*Parameters!$E$47*$D$10*(1-DOCF)*Industry!D107</f>
        <v>0</v>
      </c>
      <c r="N104" s="394">
        <f t="shared" si="7"/>
        <v>215.46377999999999</v>
      </c>
      <c r="O104" s="396">
        <f t="shared" si="8"/>
        <v>19955.782862999968</v>
      </c>
    </row>
    <row r="105" spans="2:15" x14ac:dyDescent="0.25">
      <c r="B105" s="393">
        <f t="shared" si="6"/>
        <v>2039</v>
      </c>
      <c r="C105" s="457">
        <f>Amnt_Deposited!J100*$D$8*(1-DOCF)*MSW!C108</f>
        <v>0</v>
      </c>
      <c r="D105" s="458">
        <f>Amnt_Deposited!C100*$F$8*(1-DOCF)*Food!D108</f>
        <v>59.03887499999999</v>
      </c>
      <c r="E105" s="459">
        <f>Amnt_Deposited!D100*$F$9*(1-DOCF)*Garden!D108</f>
        <v>0</v>
      </c>
      <c r="F105" s="459">
        <f>Amnt_Deposited!E100*$D$9*(1-DOCF)*Paper!D108</f>
        <v>71.971199999999996</v>
      </c>
      <c r="G105" s="459">
        <f>Amnt_Deposited!F100*$D$10*(1-DOCF)*Wood!D108</f>
        <v>62.862344999999998</v>
      </c>
      <c r="H105" s="459">
        <f>Amnt_Deposited!G100*$F$10*(1-DOCF)*Textiles!D108</f>
        <v>21.591359999999998</v>
      </c>
      <c r="I105" s="460">
        <f>Amnt_Deposited!H100*$H$8*(1-DOCF)*Nappies!D108</f>
        <v>0</v>
      </c>
      <c r="J105" s="461">
        <f>Amnt_Deposited!I100*$H$9*(1-DOCF)*Sludge!D108</f>
        <v>0</v>
      </c>
      <c r="K105" s="462">
        <f>Amnt_Deposited!L100*$H$10*(1-DOCF)*Industry!D108</f>
        <v>0</v>
      </c>
      <c r="L105" s="459">
        <f>Amnt_Deposited!L100*Parameters!$E$46*$D$9*(1-DOCF)*Industry!D108</f>
        <v>0</v>
      </c>
      <c r="M105" s="460">
        <f>Amnt_Deposited!L100*Parameters!$E$47*$D$10*(1-DOCF)*Industry!D108</f>
        <v>0</v>
      </c>
      <c r="N105" s="394">
        <f t="shared" si="7"/>
        <v>215.46377999999999</v>
      </c>
      <c r="O105" s="396">
        <f t="shared" si="8"/>
        <v>20171.246642999966</v>
      </c>
    </row>
    <row r="106" spans="2:15" ht="15.75" thickBot="1" x14ac:dyDescent="0.3">
      <c r="B106" s="402">
        <f t="shared" si="6"/>
        <v>2040</v>
      </c>
      <c r="C106" s="463">
        <f>Amnt_Deposited!J101*$D$8*(1-DOCF)*MSW!C109</f>
        <v>0</v>
      </c>
      <c r="D106" s="464">
        <f>Amnt_Deposited!C101*$F$8*(1-DOCF)*Food!D109</f>
        <v>59.03887499999999</v>
      </c>
      <c r="E106" s="465">
        <f>Amnt_Deposited!D101*$F$9*(1-DOCF)*Garden!D109</f>
        <v>0</v>
      </c>
      <c r="F106" s="465">
        <f>Amnt_Deposited!E101*$D$9*(1-DOCF)*Paper!D109</f>
        <v>71.971199999999996</v>
      </c>
      <c r="G106" s="465">
        <f>Amnt_Deposited!F101*$D$10*(1-DOCF)*Wood!D109</f>
        <v>62.862344999999998</v>
      </c>
      <c r="H106" s="465">
        <f>Amnt_Deposited!G101*$F$10*(1-DOCF)*Textiles!D109</f>
        <v>21.591359999999998</v>
      </c>
      <c r="I106" s="466">
        <f>Amnt_Deposited!H101*$H$8*(1-DOCF)*Nappies!D109</f>
        <v>0</v>
      </c>
      <c r="J106" s="467">
        <f>Amnt_Deposited!I101*$H$9*(1-DOCF)*Sludge!D109</f>
        <v>0</v>
      </c>
      <c r="K106" s="468">
        <f>Amnt_Deposited!L101*$H$10*(1-DOCF)*Industry!D109</f>
        <v>0</v>
      </c>
      <c r="L106" s="465">
        <f>Amnt_Deposited!L101*Parameters!$E$46*$D$9*(1-DOCF)*Industry!D109</f>
        <v>0</v>
      </c>
      <c r="M106" s="466">
        <f>Amnt_Deposited!L101*Parameters!$E$47*$D$10*(1-DOCF)*Industry!D109</f>
        <v>0</v>
      </c>
      <c r="N106" s="403">
        <f t="shared" si="7"/>
        <v>215.46377999999999</v>
      </c>
      <c r="O106" s="405">
        <f t="shared" si="8"/>
        <v>20386.710422999964</v>
      </c>
    </row>
  </sheetData>
  <mergeCells count="3">
    <mergeCell ref="D2:F2"/>
    <mergeCell ref="H2:K2"/>
    <mergeCell ref="H3:K3"/>
  </mergeCells>
  <pageMargins left="0.7" right="0.7" top="0.78740157499999996" bottom="0.78740157499999996"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12</vt:i4>
      </vt:variant>
    </vt:vector>
  </HeadingPairs>
  <TitlesOfParts>
    <vt:vector size="32" baseType="lpstr">
      <vt:lpstr>Instructions</vt:lpstr>
      <vt:lpstr>Parameters</vt:lpstr>
      <vt:lpstr>MCF</vt:lpstr>
      <vt:lpstr>Activity</vt:lpstr>
      <vt:lpstr>Amnt_Deposited</vt:lpstr>
      <vt:lpstr>Recovery_OX</vt:lpstr>
      <vt:lpstr>Results</vt:lpstr>
      <vt:lpstr>HWP</vt:lpstr>
      <vt:lpstr>Stored_C</vt:lpstr>
      <vt:lpstr>Theory</vt:lpstr>
      <vt:lpstr>Defaults</vt:lpstr>
      <vt:lpstr>Food</vt:lpstr>
      <vt:lpstr>Garden</vt:lpstr>
      <vt:lpstr>Paper</vt:lpstr>
      <vt:lpstr>Wood</vt:lpstr>
      <vt:lpstr>Textiles</vt:lpstr>
      <vt:lpstr>Nappies</vt:lpstr>
      <vt:lpstr>Sludge</vt:lpstr>
      <vt:lpstr>MSW</vt:lpstr>
      <vt:lpstr>Industry</vt:lpstr>
      <vt:lpstr>conv</vt:lpstr>
      <vt:lpstr>country</vt:lpstr>
      <vt:lpstr>DOC_table</vt:lpstr>
      <vt:lpstr>DOCF</vt:lpstr>
      <vt:lpstr>half_life</vt:lpstr>
      <vt:lpstr>CH4_fraction</vt:lpstr>
      <vt:lpstr>ox</vt:lpstr>
      <vt:lpstr>Regional_data</vt:lpstr>
      <vt:lpstr>Select2</vt:lpstr>
      <vt:lpstr>Select3</vt:lpstr>
      <vt:lpstr>selected</vt:lpstr>
      <vt:lpstr>year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Jiri SPITZ</dc:creator>
  <cp:lastModifiedBy>Jiri SPITZ</cp:lastModifiedBy>
  <dcterms:created xsi:type="dcterms:W3CDTF">2017-08-16T16:15:28Z</dcterms:created>
  <dcterms:modified xsi:type="dcterms:W3CDTF">2017-08-16T17:39:17Z</dcterms:modified>
</cp:coreProperties>
</file>